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6470" yWindow="90" windowWidth="12120" windowHeight="9240" tabRatio="599"/>
  </bookViews>
  <sheets>
    <sheet name="Introduction" sheetId="1" r:id="rId1"/>
    <sheet name="FVA Due" sheetId="45" r:id="rId2"/>
    <sheet name="Saving for a House" sheetId="44" r:id="rId3"/>
    <sheet name="Bond Valuation" sheetId="7" r:id="rId4"/>
    <sheet name="Lottery PVA" sheetId="46" r:id="rId5"/>
    <sheet name="Mortgage Amortization" sheetId="47" r:id="rId6"/>
    <sheet name="Sally Mae PV" sheetId="48" r:id="rId7"/>
    <sheet name="PV Growing Perpetuity" sheetId="49" r:id="rId8"/>
    <sheet name="College Savings" sheetId="50" r:id="rId9"/>
    <sheet name="Geometric Expansions" sheetId="51" r:id="rId10"/>
    <sheet name="NAV and Fund Returns" sheetId="42" r:id="rId11"/>
    <sheet name="Geometric Returns" sheetId="2" r:id="rId12"/>
    <sheet name="IRR" sheetId="52" r:id="rId13"/>
    <sheet name="Yield To Maturity" sheetId="8" r:id="rId14"/>
    <sheet name="Exp. Return &amp; Variance" sheetId="3" r:id="rId15"/>
    <sheet name="ReturnStandardDeviation" sheetId="4" r:id="rId16"/>
    <sheet name="Covariance" sheetId="5" r:id="rId17"/>
    <sheet name="Returns Covariance" sheetId="6" r:id="rId18"/>
    <sheet name="Portfolio Possibility Frontier" sheetId="23" r:id="rId19"/>
    <sheet name="Diversification and Risk" sheetId="25" r:id="rId20"/>
    <sheet name="Efficient Frontier" sheetId="24" r:id="rId21"/>
    <sheet name="Beta" sheetId="26" r:id="rId22"/>
    <sheet name="Replacement Decision" sheetId="43" r:id="rId23"/>
    <sheet name="DOL and DFL Example" sheetId="53" r:id="rId24"/>
  </sheets>
  <externalReferences>
    <externalReference r:id="rId25"/>
  </externalReferences>
  <calcPr calcId="124519"/>
</workbook>
</file>

<file path=xl/calcChain.xml><?xml version="1.0" encoding="utf-8"?>
<calcChain xmlns="http://schemas.openxmlformats.org/spreadsheetml/2006/main">
  <c r="D18" i="47"/>
  <c r="D1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24" i="53"/>
  <c r="E23"/>
  <c r="E24" s="1"/>
  <c r="E11"/>
  <c r="D11"/>
  <c r="C11"/>
  <c r="C8"/>
  <c r="D7"/>
  <c r="D8" s="1"/>
  <c r="C7"/>
  <c r="E6"/>
  <c r="E9" s="1"/>
  <c r="B32" i="52"/>
  <c r="K19"/>
  <c r="I19"/>
  <c r="G19"/>
  <c r="D19"/>
  <c r="K18"/>
  <c r="J18"/>
  <c r="J19" s="1"/>
  <c r="I18"/>
  <c r="H18"/>
  <c r="H19" s="1"/>
  <c r="G18"/>
  <c r="F18"/>
  <c r="F19" s="1"/>
  <c r="M19" s="1"/>
  <c r="H6"/>
  <c r="H7" s="1"/>
  <c r="G6"/>
  <c r="G7" s="1"/>
  <c r="F6"/>
  <c r="F7" s="1"/>
  <c r="E6"/>
  <c r="E7" s="1"/>
  <c r="J7" s="1"/>
  <c r="B20" i="51"/>
  <c r="B19"/>
  <c r="K18"/>
  <c r="B18"/>
  <c r="K17"/>
  <c r="B17"/>
  <c r="B16"/>
  <c r="D38" i="50"/>
  <c r="D39" s="1"/>
  <c r="A31"/>
  <c r="A32" s="1"/>
  <c r="A33" s="1"/>
  <c r="A34" s="1"/>
  <c r="A35" s="1"/>
  <c r="A36" s="1"/>
  <c r="A37" s="1"/>
  <c r="E30"/>
  <c r="B30"/>
  <c r="B31" s="1"/>
  <c r="B32" s="1"/>
  <c r="B33" s="1"/>
  <c r="B34" s="1"/>
  <c r="B35" s="1"/>
  <c r="B36" s="1"/>
  <c r="B37" s="1"/>
  <c r="B38" s="1"/>
  <c r="B39" s="1"/>
  <c r="B40" s="1"/>
  <c r="C22"/>
  <c r="C23" s="1"/>
  <c r="D30" s="1"/>
  <c r="H9" i="49"/>
  <c r="A5"/>
  <c r="A6" s="1"/>
  <c r="A7" s="1"/>
  <c r="A8" s="1"/>
  <c r="A9" s="1"/>
  <c r="A10" s="1"/>
  <c r="C4"/>
  <c r="D4" s="1"/>
  <c r="B4"/>
  <c r="B9" s="1"/>
  <c r="C9" s="1"/>
  <c r="A25" i="48"/>
  <c r="A26" s="1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A24"/>
  <c r="C24" s="1"/>
  <c r="C23"/>
  <c r="A17"/>
  <c r="A21" s="1"/>
  <c r="A18" i="47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B17"/>
  <c r="I11"/>
  <c r="B9" i="46"/>
  <c r="B12" s="1"/>
  <c r="B8" i="45"/>
  <c r="C4"/>
  <c r="C5" s="1"/>
  <c r="D3"/>
  <c r="E3" s="1"/>
  <c r="B10" i="44"/>
  <c r="C7"/>
  <c r="C8" s="1"/>
  <c r="D6"/>
  <c r="C6"/>
  <c r="E5"/>
  <c r="E6" s="1"/>
  <c r="D5"/>
  <c r="B32" i="43"/>
  <c r="B23"/>
  <c r="B24" s="1"/>
  <c r="B25" s="1"/>
  <c r="B29" s="1"/>
  <c r="D29" s="1"/>
  <c r="B22"/>
  <c r="B21"/>
  <c r="B33" s="1"/>
  <c r="D33" s="1"/>
  <c r="B20"/>
  <c r="B28" s="1"/>
  <c r="C9" i="53" l="1"/>
  <c r="D9"/>
  <c r="D10" s="1"/>
  <c r="D12" s="1"/>
  <c r="E16"/>
  <c r="C16"/>
  <c r="C30" s="1"/>
  <c r="D16"/>
  <c r="C10"/>
  <c r="C12" s="1"/>
  <c r="E8"/>
  <c r="E10" s="1"/>
  <c r="E7"/>
  <c r="C34" s="1"/>
  <c r="D31" i="50"/>
  <c r="G30"/>
  <c r="C31" s="1"/>
  <c r="E31" s="1"/>
  <c r="D40"/>
  <c r="A38"/>
  <c r="F37"/>
  <c r="A11" i="49"/>
  <c r="B10"/>
  <c r="C10" s="1"/>
  <c r="B5"/>
  <c r="C5" s="1"/>
  <c r="D5" s="1"/>
  <c r="B6"/>
  <c r="C6" s="1"/>
  <c r="D6" s="1"/>
  <c r="B7"/>
  <c r="C7" s="1"/>
  <c r="B8"/>
  <c r="C8" s="1"/>
  <c r="C26" i="48"/>
  <c r="A27"/>
  <c r="C25"/>
  <c r="E17" i="47"/>
  <c r="B18" s="1"/>
  <c r="C6" i="45"/>
  <c r="D5"/>
  <c r="E4"/>
  <c r="E5" s="1"/>
  <c r="D4"/>
  <c r="C9" i="44"/>
  <c r="D8"/>
  <c r="D7"/>
  <c r="E7" s="1"/>
  <c r="E8" s="1"/>
  <c r="D13" i="53" l="1"/>
  <c r="D14" s="1"/>
  <c r="E12"/>
  <c r="C35" s="1"/>
  <c r="C13"/>
  <c r="C14"/>
  <c r="A39" i="50"/>
  <c r="F38"/>
  <c r="D32"/>
  <c r="G31"/>
  <c r="C32" s="1"/>
  <c r="E32" s="1"/>
  <c r="A12" i="49"/>
  <c r="B11"/>
  <c r="C11" s="1"/>
  <c r="D8"/>
  <c r="D9" s="1"/>
  <c r="D7"/>
  <c r="D10"/>
  <c r="A28" i="48"/>
  <c r="C27"/>
  <c r="E18" i="47"/>
  <c r="B19" s="1"/>
  <c r="D19" s="1"/>
  <c r="D6" i="45"/>
  <c r="C7"/>
  <c r="E6"/>
  <c r="C10" i="44"/>
  <c r="D9"/>
  <c r="E9" s="1"/>
  <c r="E32" i="53" l="1"/>
  <c r="D17"/>
  <c r="E31"/>
  <c r="C31"/>
  <c r="C32"/>
  <c r="C17"/>
  <c r="E13"/>
  <c r="E14" s="1"/>
  <c r="C36"/>
  <c r="D33" i="50"/>
  <c r="G32"/>
  <c r="C33" s="1"/>
  <c r="E33" s="1"/>
  <c r="A40"/>
  <c r="F40" s="1"/>
  <c r="F39"/>
  <c r="A13" i="49"/>
  <c r="B12"/>
  <c r="C12" s="1"/>
  <c r="D12" s="1"/>
  <c r="D11"/>
  <c r="C28" i="48"/>
  <c r="A29"/>
  <c r="E19" i="47"/>
  <c r="B20" s="1"/>
  <c r="D20" s="1"/>
  <c r="D7" i="45"/>
  <c r="C8"/>
  <c r="E7"/>
  <c r="C11" i="44"/>
  <c r="D10"/>
  <c r="E10" s="1"/>
  <c r="G31" i="53" l="1"/>
  <c r="G32"/>
  <c r="E17"/>
  <c r="C33"/>
  <c r="D34" i="50"/>
  <c r="G33"/>
  <c r="C34" s="1"/>
  <c r="E34" s="1"/>
  <c r="A14" i="49"/>
  <c r="B13"/>
  <c r="C13" s="1"/>
  <c r="D13" s="1"/>
  <c r="A30" i="48"/>
  <c r="C29"/>
  <c r="E20" i="47"/>
  <c r="B21" s="1"/>
  <c r="D21" s="1"/>
  <c r="C9" i="45"/>
  <c r="D8"/>
  <c r="E8"/>
  <c r="C12" i="44"/>
  <c r="D11"/>
  <c r="E11" s="1"/>
  <c r="D35" i="50" l="1"/>
  <c r="G34"/>
  <c r="C35" s="1"/>
  <c r="E35" s="1"/>
  <c r="A15" i="49"/>
  <c r="B14"/>
  <c r="C14" s="1"/>
  <c r="D14" s="1"/>
  <c r="C30" i="48"/>
  <c r="A31"/>
  <c r="E21" i="47"/>
  <c r="B22" s="1"/>
  <c r="D22" s="1"/>
  <c r="C10" i="45"/>
  <c r="D9"/>
  <c r="E9"/>
  <c r="D12" i="44"/>
  <c r="E12" s="1"/>
  <c r="C13"/>
  <c r="D36" i="50" l="1"/>
  <c r="G36" s="1"/>
  <c r="C37" s="1"/>
  <c r="E37" s="1"/>
  <c r="G37" s="1"/>
  <c r="C38" s="1"/>
  <c r="E38" s="1"/>
  <c r="G38" s="1"/>
  <c r="C39" s="1"/>
  <c r="E39" s="1"/>
  <c r="G39" s="1"/>
  <c r="C40" s="1"/>
  <c r="E40" s="1"/>
  <c r="G40" s="1"/>
  <c r="G35"/>
  <c r="C36" s="1"/>
  <c r="E36" s="1"/>
  <c r="A16" i="49"/>
  <c r="B15"/>
  <c r="C15" s="1"/>
  <c r="D15" s="1"/>
  <c r="A32" i="48"/>
  <c r="C31"/>
  <c r="E22" i="47"/>
  <c r="B23" s="1"/>
  <c r="D23" s="1"/>
  <c r="C11" i="45"/>
  <c r="D10"/>
  <c r="E10"/>
  <c r="C14" i="44"/>
  <c r="D13"/>
  <c r="E13" s="1"/>
  <c r="A17" i="49" l="1"/>
  <c r="B16"/>
  <c r="C16" s="1"/>
  <c r="D16" s="1"/>
  <c r="C32" i="48"/>
  <c r="A33"/>
  <c r="E23" i="47"/>
  <c r="B24" s="1"/>
  <c r="D24" s="1"/>
  <c r="C12" i="45"/>
  <c r="D11"/>
  <c r="E11"/>
  <c r="D14" i="44"/>
  <c r="E14" s="1"/>
  <c r="C15"/>
  <c r="A18" i="49" l="1"/>
  <c r="B17"/>
  <c r="C17" s="1"/>
  <c r="D17" s="1"/>
  <c r="A34" i="48"/>
  <c r="C33"/>
  <c r="E24" i="47"/>
  <c r="B25" s="1"/>
  <c r="D25" s="1"/>
  <c r="C13" i="45"/>
  <c r="D12"/>
  <c r="E12"/>
  <c r="C16" i="44"/>
  <c r="D15"/>
  <c r="E15" s="1"/>
  <c r="A19" i="49" l="1"/>
  <c r="B18"/>
  <c r="C18" s="1"/>
  <c r="D18" s="1"/>
  <c r="C34" i="48"/>
  <c r="A35"/>
  <c r="E25" i="47"/>
  <c r="B26" s="1"/>
  <c r="D26" s="1"/>
  <c r="C14" i="45"/>
  <c r="D13"/>
  <c r="E13"/>
  <c r="D16" i="44"/>
  <c r="E16" s="1"/>
  <c r="C17"/>
  <c r="A20" i="49" l="1"/>
  <c r="B19"/>
  <c r="C19" s="1"/>
  <c r="D19" s="1"/>
  <c r="A36" i="48"/>
  <c r="C35"/>
  <c r="E26" i="47"/>
  <c r="B27" s="1"/>
  <c r="D27" s="1"/>
  <c r="C15" i="45"/>
  <c r="D14"/>
  <c r="E14"/>
  <c r="C18" i="44"/>
  <c r="D17"/>
  <c r="E17" s="1"/>
  <c r="A21" i="49" l="1"/>
  <c r="B20"/>
  <c r="C20" s="1"/>
  <c r="D20" s="1"/>
  <c r="C36" i="48"/>
  <c r="A37"/>
  <c r="E27" i="47"/>
  <c r="B28" s="1"/>
  <c r="D28" s="1"/>
  <c r="C16" i="45"/>
  <c r="D15"/>
  <c r="E15"/>
  <c r="C19" i="44"/>
  <c r="D18"/>
  <c r="E18" s="1"/>
  <c r="A22" i="49" l="1"/>
  <c r="B21"/>
  <c r="C21" s="1"/>
  <c r="D21" s="1"/>
  <c r="A38" i="48"/>
  <c r="C37"/>
  <c r="E28" i="47"/>
  <c r="B29" s="1"/>
  <c r="D29" s="1"/>
  <c r="C17" i="45"/>
  <c r="D16"/>
  <c r="E16"/>
  <c r="C20" i="44"/>
  <c r="D19"/>
  <c r="E19" s="1"/>
  <c r="A23" i="49" l="1"/>
  <c r="B22"/>
  <c r="C22" s="1"/>
  <c r="D22" s="1"/>
  <c r="C38" i="48"/>
  <c r="A39"/>
  <c r="E29" i="47"/>
  <c r="B30" s="1"/>
  <c r="D30" s="1"/>
  <c r="C18" i="45"/>
  <c r="D17"/>
  <c r="E17"/>
  <c r="D20" i="44"/>
  <c r="E20" s="1"/>
  <c r="C21"/>
  <c r="A24" i="49" l="1"/>
  <c r="B23"/>
  <c r="C23" s="1"/>
  <c r="D23" s="1"/>
  <c r="A40" i="48"/>
  <c r="C39"/>
  <c r="E30" i="47"/>
  <c r="B31" s="1"/>
  <c r="D31" s="1"/>
  <c r="C19" i="45"/>
  <c r="D18"/>
  <c r="E18"/>
  <c r="C22" i="44"/>
  <c r="D21"/>
  <c r="E21" s="1"/>
  <c r="A25" i="49" l="1"/>
  <c r="B24"/>
  <c r="C24" s="1"/>
  <c r="D24" s="1"/>
  <c r="C40" i="48"/>
  <c r="A41"/>
  <c r="E31" i="47"/>
  <c r="B32" s="1"/>
  <c r="D32" s="1"/>
  <c r="C20" i="45"/>
  <c r="D19"/>
  <c r="E19"/>
  <c r="C23" i="44"/>
  <c r="D22"/>
  <c r="E22" s="1"/>
  <c r="A26" i="49" l="1"/>
  <c r="B25"/>
  <c r="C25" s="1"/>
  <c r="D25" s="1"/>
  <c r="A42" i="48"/>
  <c r="C41"/>
  <c r="E32" i="47"/>
  <c r="B33" s="1"/>
  <c r="D33" s="1"/>
  <c r="C21" i="45"/>
  <c r="D20"/>
  <c r="E20"/>
  <c r="C24" i="44"/>
  <c r="D23"/>
  <c r="E23" s="1"/>
  <c r="A27" i="49" l="1"/>
  <c r="B26"/>
  <c r="C26" s="1"/>
  <c r="D26" s="1"/>
  <c r="C42" i="48"/>
  <c r="A43"/>
  <c r="E33" i="47"/>
  <c r="B34" s="1"/>
  <c r="D34" s="1"/>
  <c r="C22" i="45"/>
  <c r="D21"/>
  <c r="E21"/>
  <c r="C25" i="44"/>
  <c r="D24"/>
  <c r="E24" s="1"/>
  <c r="A28" i="49" l="1"/>
  <c r="B27"/>
  <c r="C27" s="1"/>
  <c r="D27" s="1"/>
  <c r="A44" i="48"/>
  <c r="C43"/>
  <c r="E34" i="47"/>
  <c r="B35" s="1"/>
  <c r="D35" s="1"/>
  <c r="C23" i="45"/>
  <c r="D22"/>
  <c r="E22"/>
  <c r="C26" i="44"/>
  <c r="D25"/>
  <c r="E25" s="1"/>
  <c r="A29" i="49" l="1"/>
  <c r="B28"/>
  <c r="C28" s="1"/>
  <c r="D28" s="1"/>
  <c r="C44" i="48"/>
  <c r="A45"/>
  <c r="E35" i="47"/>
  <c r="B36" s="1"/>
  <c r="C24" i="45"/>
  <c r="D23"/>
  <c r="E23"/>
  <c r="C27" i="44"/>
  <c r="D26"/>
  <c r="E26" s="1"/>
  <c r="D36" i="47" l="1"/>
  <c r="E36" s="1"/>
  <c r="A30" i="49"/>
  <c r="B29"/>
  <c r="C29" s="1"/>
  <c r="D29" s="1"/>
  <c r="A46" i="48"/>
  <c r="C45"/>
  <c r="C25" i="45"/>
  <c r="D24"/>
  <c r="E24"/>
  <c r="C28" i="44"/>
  <c r="D27"/>
  <c r="E27" s="1"/>
  <c r="A31" i="49" l="1"/>
  <c r="B30"/>
  <c r="C30" s="1"/>
  <c r="D30" s="1"/>
  <c r="C46" i="48"/>
  <c r="A47"/>
  <c r="C26" i="45"/>
  <c r="D25"/>
  <c r="E25"/>
  <c r="C29" i="44"/>
  <c r="D28"/>
  <c r="E28" s="1"/>
  <c r="A32" i="49" l="1"/>
  <c r="B31"/>
  <c r="C31" s="1"/>
  <c r="D31" s="1"/>
  <c r="A48" i="48"/>
  <c r="C47"/>
  <c r="C27" i="45"/>
  <c r="D26"/>
  <c r="E26"/>
  <c r="C30" i="44"/>
  <c r="D29"/>
  <c r="E29" s="1"/>
  <c r="A33" i="49" l="1"/>
  <c r="B32"/>
  <c r="C32" s="1"/>
  <c r="D32" s="1"/>
  <c r="C48" i="48"/>
  <c r="A49"/>
  <c r="C28" i="45"/>
  <c r="D27"/>
  <c r="E27"/>
  <c r="C31" i="44"/>
  <c r="D30"/>
  <c r="E30" s="1"/>
  <c r="A34" i="49" l="1"/>
  <c r="B33"/>
  <c r="C33" s="1"/>
  <c r="D33" s="1"/>
  <c r="A50" i="48"/>
  <c r="C49"/>
  <c r="C29" i="45"/>
  <c r="D28"/>
  <c r="E28"/>
  <c r="C32" i="44"/>
  <c r="D31"/>
  <c r="E31" s="1"/>
  <c r="A35" i="49" l="1"/>
  <c r="B34"/>
  <c r="C34" s="1"/>
  <c r="D34" s="1"/>
  <c r="C50" i="48"/>
  <c r="A51"/>
  <c r="C30" i="45"/>
  <c r="D29"/>
  <c r="E29"/>
  <c r="C33" i="44"/>
  <c r="D32"/>
  <c r="E32" s="1"/>
  <c r="A36" i="49" l="1"/>
  <c r="B35"/>
  <c r="C35" s="1"/>
  <c r="D35" s="1"/>
  <c r="A52" i="48"/>
  <c r="C51"/>
  <c r="C31" i="45"/>
  <c r="D30"/>
  <c r="E30"/>
  <c r="C34" i="44"/>
  <c r="D33"/>
  <c r="E33" s="1"/>
  <c r="A37" i="49" l="1"/>
  <c r="B36"/>
  <c r="C36" s="1"/>
  <c r="D36" s="1"/>
  <c r="C52" i="48"/>
  <c r="A53"/>
  <c r="C32" i="45"/>
  <c r="D32" s="1"/>
  <c r="D31"/>
  <c r="E31"/>
  <c r="E32" s="1"/>
  <c r="B7" s="1"/>
  <c r="C35" i="44"/>
  <c r="D34"/>
  <c r="E34" s="1"/>
  <c r="A38" i="49" l="1"/>
  <c r="B37"/>
  <c r="C37" s="1"/>
  <c r="D37" s="1"/>
  <c r="A54" i="48"/>
  <c r="C53"/>
  <c r="C36" i="44"/>
  <c r="D35"/>
  <c r="E35" s="1"/>
  <c r="A39" i="49" l="1"/>
  <c r="B38"/>
  <c r="C38" s="1"/>
  <c r="D38" s="1"/>
  <c r="C54" i="48"/>
  <c r="A55"/>
  <c r="C37" i="44"/>
  <c r="D36"/>
  <c r="E36" s="1"/>
  <c r="A40" i="49" l="1"/>
  <c r="B39"/>
  <c r="C39" s="1"/>
  <c r="D39" s="1"/>
  <c r="A56" i="48"/>
  <c r="C55"/>
  <c r="C38" i="44"/>
  <c r="D37"/>
  <c r="E37" s="1"/>
  <c r="A41" i="49" l="1"/>
  <c r="B40"/>
  <c r="C40" s="1"/>
  <c r="D40" s="1"/>
  <c r="C56" i="48"/>
  <c r="A57"/>
  <c r="D38" i="44"/>
  <c r="E38" s="1"/>
  <c r="C39"/>
  <c r="A42" i="49" l="1"/>
  <c r="B41"/>
  <c r="C41" s="1"/>
  <c r="D41" s="1"/>
  <c r="A58" i="48"/>
  <c r="C57"/>
  <c r="C40" i="44"/>
  <c r="D39"/>
  <c r="E39" s="1"/>
  <c r="A43" i="49" l="1"/>
  <c r="B42"/>
  <c r="C42" s="1"/>
  <c r="D42" s="1"/>
  <c r="C58" i="48"/>
  <c r="A59"/>
  <c r="C41" i="44"/>
  <c r="D40"/>
  <c r="E40" s="1"/>
  <c r="A44" i="49" l="1"/>
  <c r="B43"/>
  <c r="C43" s="1"/>
  <c r="D43" s="1"/>
  <c r="A60" i="48"/>
  <c r="C59"/>
  <c r="C42" i="44"/>
  <c r="D41"/>
  <c r="E41" s="1"/>
  <c r="A45" i="49" l="1"/>
  <c r="B44"/>
  <c r="C44" s="1"/>
  <c r="D44" s="1"/>
  <c r="C60" i="48"/>
  <c r="A61"/>
  <c r="C43" i="44"/>
  <c r="D42"/>
  <c r="E42" s="1"/>
  <c r="A46" i="49" l="1"/>
  <c r="B45"/>
  <c r="C45" s="1"/>
  <c r="D45" s="1"/>
  <c r="A62" i="48"/>
  <c r="C61"/>
  <c r="C44" i="44"/>
  <c r="D43"/>
  <c r="E43" s="1"/>
  <c r="A47" i="49" l="1"/>
  <c r="B46"/>
  <c r="C46" s="1"/>
  <c r="D46" s="1"/>
  <c r="C62" i="48"/>
  <c r="A63"/>
  <c r="C45" i="44"/>
  <c r="D44"/>
  <c r="E44" s="1"/>
  <c r="A48" i="49" l="1"/>
  <c r="B47"/>
  <c r="C47" s="1"/>
  <c r="D47" s="1"/>
  <c r="A64" i="48"/>
  <c r="C63"/>
  <c r="C46" i="44"/>
  <c r="D45"/>
  <c r="E45" s="1"/>
  <c r="A49" i="49" l="1"/>
  <c r="B48"/>
  <c r="C48" s="1"/>
  <c r="D48" s="1"/>
  <c r="C64" i="48"/>
  <c r="A65"/>
  <c r="C47" i="44"/>
  <c r="D46"/>
  <c r="E46" s="1"/>
  <c r="A50" i="49" l="1"/>
  <c r="B49"/>
  <c r="C49" s="1"/>
  <c r="D49" s="1"/>
  <c r="A66" i="48"/>
  <c r="C65"/>
  <c r="C48" i="44"/>
  <c r="D47"/>
  <c r="E47" s="1"/>
  <c r="A51" i="49" l="1"/>
  <c r="B50"/>
  <c r="C50" s="1"/>
  <c r="D50" s="1"/>
  <c r="C66" i="48"/>
  <c r="A67"/>
  <c r="D48" i="44"/>
  <c r="E48" s="1"/>
  <c r="C49"/>
  <c r="A52" i="49" l="1"/>
  <c r="B51"/>
  <c r="C51" s="1"/>
  <c r="D51" s="1"/>
  <c r="A68" i="48"/>
  <c r="C67"/>
  <c r="C50" i="44"/>
  <c r="D49"/>
  <c r="E49" s="1"/>
  <c r="A53" i="49" l="1"/>
  <c r="B52"/>
  <c r="C52" s="1"/>
  <c r="D52" s="1"/>
  <c r="C68" i="48"/>
  <c r="A69"/>
  <c r="C51" i="44"/>
  <c r="D50"/>
  <c r="E50" s="1"/>
  <c r="A54" i="49" l="1"/>
  <c r="B53"/>
  <c r="C53" s="1"/>
  <c r="D53" s="1"/>
  <c r="A70" i="48"/>
  <c r="C69"/>
  <c r="C52" i="44"/>
  <c r="D51"/>
  <c r="E51" s="1"/>
  <c r="A55" i="49" l="1"/>
  <c r="B54"/>
  <c r="C54" s="1"/>
  <c r="D54" s="1"/>
  <c r="C70" i="48"/>
  <c r="A71"/>
  <c r="C53" i="44"/>
  <c r="D52"/>
  <c r="E52" s="1"/>
  <c r="A56" i="49" l="1"/>
  <c r="B55"/>
  <c r="C55" s="1"/>
  <c r="D55" s="1"/>
  <c r="A72" i="48"/>
  <c r="C71"/>
  <c r="C54" i="44"/>
  <c r="D53"/>
  <c r="E53" s="1"/>
  <c r="A57" i="49" l="1"/>
  <c r="B56"/>
  <c r="C56" s="1"/>
  <c r="D56" s="1"/>
  <c r="C72" i="48"/>
  <c r="A73"/>
  <c r="C55" i="44"/>
  <c r="D54"/>
  <c r="E54" s="1"/>
  <c r="A58" i="49" l="1"/>
  <c r="B57"/>
  <c r="C57" s="1"/>
  <c r="D57" s="1"/>
  <c r="A74" i="48"/>
  <c r="C73"/>
  <c r="C56" i="44"/>
  <c r="D55"/>
  <c r="E55" s="1"/>
  <c r="A59" i="49" l="1"/>
  <c r="B58"/>
  <c r="C58" s="1"/>
  <c r="D58" s="1"/>
  <c r="C74" i="48"/>
  <c r="A75"/>
  <c r="C57" i="44"/>
  <c r="D56"/>
  <c r="E56" s="1"/>
  <c r="A60" i="49" l="1"/>
  <c r="B59"/>
  <c r="C59" s="1"/>
  <c r="D59" s="1"/>
  <c r="A76" i="48"/>
  <c r="C75"/>
  <c r="C58" i="44"/>
  <c r="D57"/>
  <c r="E57" s="1"/>
  <c r="A61" i="49" l="1"/>
  <c r="B60"/>
  <c r="C60" s="1"/>
  <c r="D60" s="1"/>
  <c r="C76" i="48"/>
  <c r="A77"/>
  <c r="C59" i="44"/>
  <c r="D58"/>
  <c r="E58" s="1"/>
  <c r="A62" i="49" l="1"/>
  <c r="B61"/>
  <c r="C61" s="1"/>
  <c r="D61" s="1"/>
  <c r="A78" i="48"/>
  <c r="C77"/>
  <c r="C60" i="44"/>
  <c r="D59"/>
  <c r="E59" s="1"/>
  <c r="A63" i="49" l="1"/>
  <c r="B62"/>
  <c r="C62" s="1"/>
  <c r="D62" s="1"/>
  <c r="C78" i="48"/>
  <c r="A79"/>
  <c r="C61" i="44"/>
  <c r="D60"/>
  <c r="E60" s="1"/>
  <c r="A64" i="49" l="1"/>
  <c r="B63"/>
  <c r="C63" s="1"/>
  <c r="D63" s="1"/>
  <c r="A80" i="48"/>
  <c r="C79"/>
  <c r="C62" i="44"/>
  <c r="D61"/>
  <c r="E61" s="1"/>
  <c r="A65" i="49" l="1"/>
  <c r="B64"/>
  <c r="C64" s="1"/>
  <c r="D64" s="1"/>
  <c r="C80" i="48"/>
  <c r="A81"/>
  <c r="C63" i="44"/>
  <c r="D62"/>
  <c r="E62" s="1"/>
  <c r="A66" i="49" l="1"/>
  <c r="B66" s="1"/>
  <c r="C66" s="1"/>
  <c r="D66" s="1"/>
  <c r="B65"/>
  <c r="C65" s="1"/>
  <c r="D65" s="1"/>
  <c r="A82" i="48"/>
  <c r="C81"/>
  <c r="C64" i="44"/>
  <c r="D63"/>
  <c r="E63" s="1"/>
  <c r="C82" i="48" l="1"/>
  <c r="A83"/>
  <c r="D64" i="44"/>
  <c r="E64" s="1"/>
  <c r="C65"/>
  <c r="A84" i="48" l="1"/>
  <c r="C83"/>
  <c r="C66" i="44"/>
  <c r="D65"/>
  <c r="E65" s="1"/>
  <c r="C84" i="48" l="1"/>
  <c r="A85"/>
  <c r="D66" i="44"/>
  <c r="E66" s="1"/>
  <c r="C67"/>
  <c r="A86" i="48" l="1"/>
  <c r="C85"/>
  <c r="C68" i="44"/>
  <c r="D67"/>
  <c r="E67" s="1"/>
  <c r="C86" i="48" l="1"/>
  <c r="A87"/>
  <c r="D68" i="44"/>
  <c r="E68" s="1"/>
  <c r="C69"/>
  <c r="A88" i="48" l="1"/>
  <c r="C87"/>
  <c r="C70" i="44"/>
  <c r="D69"/>
  <c r="E69" s="1"/>
  <c r="C88" i="48" l="1"/>
  <c r="A89"/>
  <c r="C71" i="44"/>
  <c r="D70"/>
  <c r="E70" s="1"/>
  <c r="A90" i="48" l="1"/>
  <c r="C89"/>
  <c r="C72" i="44"/>
  <c r="D71"/>
  <c r="E71" s="1"/>
  <c r="C90" i="48" l="1"/>
  <c r="A91"/>
  <c r="C73" i="44"/>
  <c r="D72"/>
  <c r="E72" s="1"/>
  <c r="A92" i="48" l="1"/>
  <c r="C91"/>
  <c r="C74" i="44"/>
  <c r="D73"/>
  <c r="E73" s="1"/>
  <c r="C92" i="48" l="1"/>
  <c r="A93"/>
  <c r="C75" i="44"/>
  <c r="D74"/>
  <c r="E74" s="1"/>
  <c r="A94" i="48" l="1"/>
  <c r="C93"/>
  <c r="C76" i="44"/>
  <c r="D75"/>
  <c r="E75" s="1"/>
  <c r="C94" i="48" l="1"/>
  <c r="A95"/>
  <c r="C77" i="44"/>
  <c r="D76"/>
  <c r="E76" s="1"/>
  <c r="A96" i="48" l="1"/>
  <c r="C95"/>
  <c r="C78" i="44"/>
  <c r="D77"/>
  <c r="E77" s="1"/>
  <c r="C96" i="48" l="1"/>
  <c r="A97"/>
  <c r="C79" i="44"/>
  <c r="D78"/>
  <c r="E78" s="1"/>
  <c r="A98" i="48" l="1"/>
  <c r="C97"/>
  <c r="C80" i="44"/>
  <c r="D79"/>
  <c r="E79" s="1"/>
  <c r="C98" i="48" l="1"/>
  <c r="A99"/>
  <c r="C81" i="44"/>
  <c r="D80"/>
  <c r="E80" s="1"/>
  <c r="A100" i="48" l="1"/>
  <c r="C99"/>
  <c r="C82" i="44"/>
  <c r="D81"/>
  <c r="E81" s="1"/>
  <c r="C100" i="48" l="1"/>
  <c r="A101"/>
  <c r="D82" i="44"/>
  <c r="E82" s="1"/>
  <c r="C83"/>
  <c r="A102" i="48" l="1"/>
  <c r="C101"/>
  <c r="C84" i="44"/>
  <c r="D83"/>
  <c r="E83" s="1"/>
  <c r="C102" i="48" l="1"/>
  <c r="A103"/>
  <c r="D84" i="44"/>
  <c r="E84" s="1"/>
  <c r="C85"/>
  <c r="A104" i="48" l="1"/>
  <c r="C103"/>
  <c r="C86" i="44"/>
  <c r="D85"/>
  <c r="E85" s="1"/>
  <c r="C104" i="48" l="1"/>
  <c r="A105"/>
  <c r="D86" i="44"/>
  <c r="E86" s="1"/>
  <c r="C87"/>
  <c r="A106" i="48" l="1"/>
  <c r="C105"/>
  <c r="C88" i="44"/>
  <c r="D87"/>
  <c r="E87" s="1"/>
  <c r="C106" i="48" l="1"/>
  <c r="A107"/>
  <c r="D88" i="44"/>
  <c r="E88" s="1"/>
  <c r="C89"/>
  <c r="A108" i="48" l="1"/>
  <c r="C107"/>
  <c r="C90" i="44"/>
  <c r="D89"/>
  <c r="E89" s="1"/>
  <c r="C108" i="48" l="1"/>
  <c r="A109"/>
  <c r="D90" i="44"/>
  <c r="E90" s="1"/>
  <c r="C91"/>
  <c r="A110" i="48" l="1"/>
  <c r="C109"/>
  <c r="C92" i="44"/>
  <c r="D91"/>
  <c r="E91" s="1"/>
  <c r="C110" i="48" l="1"/>
  <c r="A111"/>
  <c r="C93" i="44"/>
  <c r="D92"/>
  <c r="E92" s="1"/>
  <c r="A112" i="48" l="1"/>
  <c r="C111"/>
  <c r="C94" i="44"/>
  <c r="D93"/>
  <c r="E93" s="1"/>
  <c r="C112" i="48" l="1"/>
  <c r="A113"/>
  <c r="C95" i="44"/>
  <c r="D94"/>
  <c r="E94" s="1"/>
  <c r="A114" i="48" l="1"/>
  <c r="C113"/>
  <c r="C96" i="44"/>
  <c r="D95"/>
  <c r="E95" s="1"/>
  <c r="C114" i="48" l="1"/>
  <c r="A115"/>
  <c r="C97" i="44"/>
  <c r="D96"/>
  <c r="E96" s="1"/>
  <c r="A116" i="48" l="1"/>
  <c r="C115"/>
  <c r="C98" i="44"/>
  <c r="D97"/>
  <c r="E97" s="1"/>
  <c r="C116" i="48" l="1"/>
  <c r="A117"/>
  <c r="C99" i="44"/>
  <c r="D98"/>
  <c r="E98" s="1"/>
  <c r="A118" i="48" l="1"/>
  <c r="C117"/>
  <c r="C100" i="44"/>
  <c r="D100" s="1"/>
  <c r="D99"/>
  <c r="E99" s="1"/>
  <c r="E100" s="1"/>
  <c r="B9" s="1"/>
  <c r="C118" i="48" l="1"/>
  <c r="A119"/>
  <c r="A120" l="1"/>
  <c r="C119"/>
  <c r="C120" l="1"/>
  <c r="A121"/>
  <c r="A122" l="1"/>
  <c r="C121"/>
  <c r="C122" l="1"/>
  <c r="A123"/>
  <c r="A124" l="1"/>
  <c r="C123"/>
  <c r="C124" l="1"/>
  <c r="A125"/>
  <c r="A126" l="1"/>
  <c r="C125"/>
  <c r="C126" l="1"/>
  <c r="A127"/>
  <c r="A128" l="1"/>
  <c r="C127"/>
  <c r="C128" l="1"/>
  <c r="A129"/>
  <c r="A130" l="1"/>
  <c r="C129"/>
  <c r="C130" l="1"/>
  <c r="A131"/>
  <c r="A132" l="1"/>
  <c r="C131"/>
  <c r="C132" l="1"/>
  <c r="A133"/>
  <c r="A134" l="1"/>
  <c r="C133"/>
  <c r="C134" l="1"/>
  <c r="A135"/>
  <c r="A136" l="1"/>
  <c r="C135"/>
  <c r="C136" l="1"/>
  <c r="A137"/>
  <c r="A138" l="1"/>
  <c r="C137"/>
  <c r="C138" l="1"/>
  <c r="A139"/>
  <c r="A140" l="1"/>
  <c r="C139"/>
  <c r="C140" l="1"/>
  <c r="A141"/>
  <c r="A142" l="1"/>
  <c r="C142" s="1"/>
  <c r="C141"/>
  <c r="C143" l="1"/>
  <c r="O13" i="42" l="1"/>
  <c r="O12"/>
  <c r="O11"/>
  <c r="O10"/>
  <c r="O9"/>
  <c r="O8"/>
  <c r="O7"/>
  <c r="O6"/>
  <c r="O5"/>
  <c r="I6"/>
  <c r="G5"/>
  <c r="F5" s="1"/>
  <c r="E5"/>
  <c r="E6" s="1"/>
  <c r="A5"/>
  <c r="A6" s="1"/>
  <c r="A7" s="1"/>
  <c r="A8" s="1"/>
  <c r="A9" s="1"/>
  <c r="A10" s="1"/>
  <c r="A11" s="1"/>
  <c r="G4"/>
  <c r="E4"/>
  <c r="C5" i="26"/>
  <c r="D5"/>
  <c r="C6"/>
  <c r="D6"/>
  <c r="C7"/>
  <c r="D7"/>
  <c r="C8"/>
  <c r="D8"/>
  <c r="G8"/>
  <c r="C9"/>
  <c r="D9"/>
  <c r="G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D28"/>
  <c r="C33"/>
  <c r="C34"/>
  <c r="D34"/>
  <c r="C35"/>
  <c r="C36"/>
  <c r="D36"/>
  <c r="G36"/>
  <c r="G37"/>
  <c r="C37"/>
  <c r="D37"/>
  <c r="C38"/>
  <c r="D38"/>
  <c r="C39"/>
  <c r="D39"/>
  <c r="C40"/>
  <c r="D40"/>
  <c r="C41"/>
  <c r="C42"/>
  <c r="D42"/>
  <c r="C43"/>
  <c r="D43"/>
  <c r="C44"/>
  <c r="C45"/>
  <c r="D45"/>
  <c r="C46"/>
  <c r="D46"/>
  <c r="C47"/>
  <c r="D47"/>
  <c r="C48"/>
  <c r="D48"/>
  <c r="C49"/>
  <c r="C50"/>
  <c r="C51"/>
  <c r="D51"/>
  <c r="C52"/>
  <c r="C53"/>
  <c r="D53"/>
  <c r="C54"/>
  <c r="D54"/>
  <c r="C55"/>
  <c r="D55"/>
  <c r="D56"/>
  <c r="D6" i="7"/>
  <c r="E6"/>
  <c r="C7"/>
  <c r="B11"/>
  <c r="C9" i="5"/>
  <c r="C10"/>
  <c r="C16" i="25"/>
  <c r="C17"/>
  <c r="C18"/>
  <c r="C19"/>
  <c r="C20"/>
  <c r="C21"/>
  <c r="C22"/>
  <c r="C23"/>
  <c r="C24"/>
  <c r="C25"/>
  <c r="C26"/>
  <c r="C27"/>
  <c r="C28"/>
  <c r="C30"/>
  <c r="A10" i="24"/>
  <c r="A11"/>
  <c r="B10"/>
  <c r="B11"/>
  <c r="D4" i="3"/>
  <c r="E4"/>
  <c r="F4"/>
  <c r="G4"/>
  <c r="D5"/>
  <c r="E5"/>
  <c r="F5"/>
  <c r="G5"/>
  <c r="D6"/>
  <c r="E6"/>
  <c r="F6"/>
  <c r="G6"/>
  <c r="D7"/>
  <c r="E12"/>
  <c r="A13"/>
  <c r="A14"/>
  <c r="A15"/>
  <c r="A16"/>
  <c r="A17"/>
  <c r="A18"/>
  <c r="A19"/>
  <c r="E16"/>
  <c r="E18"/>
  <c r="B20"/>
  <c r="E14"/>
  <c r="E13"/>
  <c r="C20"/>
  <c r="G7" i="2"/>
  <c r="H7"/>
  <c r="G8"/>
  <c r="H8"/>
  <c r="G9"/>
  <c r="H9"/>
  <c r="G10"/>
  <c r="H10"/>
  <c r="J10"/>
  <c r="J11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H30"/>
  <c r="G35"/>
  <c r="H35"/>
  <c r="G36"/>
  <c r="H36"/>
  <c r="G37"/>
  <c r="H37"/>
  <c r="G38"/>
  <c r="H38"/>
  <c r="J38"/>
  <c r="J39"/>
  <c r="G39"/>
  <c r="H39"/>
  <c r="G40"/>
  <c r="H40"/>
  <c r="G41"/>
  <c r="H41"/>
  <c r="J35" a="1"/>
  <c r="J35"/>
  <c r="J36"/>
  <c r="J37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H58"/>
  <c r="B7" i="23"/>
  <c r="A8"/>
  <c r="A9"/>
  <c r="B27"/>
  <c r="C5" i="6"/>
  <c r="F5"/>
  <c r="F29"/>
  <c r="C6"/>
  <c r="F6"/>
  <c r="C7"/>
  <c r="F7"/>
  <c r="C8"/>
  <c r="F8"/>
  <c r="C9"/>
  <c r="F9"/>
  <c r="C10"/>
  <c r="F10"/>
  <c r="C11"/>
  <c r="F11"/>
  <c r="G11"/>
  <c r="C12"/>
  <c r="F12"/>
  <c r="C13"/>
  <c r="F13"/>
  <c r="G13"/>
  <c r="C14"/>
  <c r="F14"/>
  <c r="C15"/>
  <c r="F15"/>
  <c r="C16"/>
  <c r="F16"/>
  <c r="C17"/>
  <c r="F17"/>
  <c r="C18"/>
  <c r="F18"/>
  <c r="C19"/>
  <c r="F19"/>
  <c r="C20"/>
  <c r="F20"/>
  <c r="C21"/>
  <c r="F21"/>
  <c r="C22"/>
  <c r="F22"/>
  <c r="C23"/>
  <c r="F23"/>
  <c r="G23"/>
  <c r="C24"/>
  <c r="F24"/>
  <c r="C25"/>
  <c r="F25"/>
  <c r="C26"/>
  <c r="F26"/>
  <c r="C27"/>
  <c r="F27"/>
  <c r="H30"/>
  <c r="H31"/>
  <c r="H32"/>
  <c r="H33"/>
  <c r="C5" i="4"/>
  <c r="D5"/>
  <c r="G5" a="1"/>
  <c r="G5"/>
  <c r="G6"/>
  <c r="G7"/>
  <c r="C6"/>
  <c r="D6"/>
  <c r="C7"/>
  <c r="D7"/>
  <c r="C8"/>
  <c r="D8"/>
  <c r="G8"/>
  <c r="G9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D28"/>
  <c r="C33"/>
  <c r="C34"/>
  <c r="D34"/>
  <c r="C35"/>
  <c r="C36"/>
  <c r="G36"/>
  <c r="C37"/>
  <c r="D37"/>
  <c r="G37"/>
  <c r="C38"/>
  <c r="C39"/>
  <c r="C40"/>
  <c r="C41"/>
  <c r="C42"/>
  <c r="D42"/>
  <c r="C43"/>
  <c r="D43"/>
  <c r="C44"/>
  <c r="D44"/>
  <c r="C45"/>
  <c r="D45"/>
  <c r="C46"/>
  <c r="D46"/>
  <c r="C47"/>
  <c r="C48"/>
  <c r="D48"/>
  <c r="C49"/>
  <c r="C50"/>
  <c r="D50"/>
  <c r="C51"/>
  <c r="C52"/>
  <c r="C53"/>
  <c r="D53"/>
  <c r="C54"/>
  <c r="D54"/>
  <c r="C55"/>
  <c r="D56"/>
  <c r="B10" i="8"/>
  <c r="A11" s="1"/>
  <c r="D55" i="4"/>
  <c r="D51"/>
  <c r="D47"/>
  <c r="D40"/>
  <c r="D38"/>
  <c r="D35"/>
  <c r="D41"/>
  <c r="D39"/>
  <c r="D36"/>
  <c r="G5" i="6"/>
  <c r="G21"/>
  <c r="F12" i="3"/>
  <c r="F14"/>
  <c r="F16"/>
  <c r="F18"/>
  <c r="F13"/>
  <c r="F17"/>
  <c r="F19"/>
  <c r="F15"/>
  <c r="G5" i="26" a="1"/>
  <c r="G5"/>
  <c r="G6"/>
  <c r="G7"/>
  <c r="B8" i="23"/>
  <c r="C8"/>
  <c r="G27" i="6"/>
  <c r="G19"/>
  <c r="G15"/>
  <c r="G7"/>
  <c r="J7" i="2" a="1"/>
  <c r="J7"/>
  <c r="J8"/>
  <c r="J9"/>
  <c r="D16" i="25"/>
  <c r="D17"/>
  <c r="D19"/>
  <c r="D20"/>
  <c r="D21"/>
  <c r="D23"/>
  <c r="D24"/>
  <c r="D25"/>
  <c r="D27"/>
  <c r="D28"/>
  <c r="C31"/>
  <c r="E19" i="3"/>
  <c r="E17"/>
  <c r="E15"/>
  <c r="C29" i="26"/>
  <c r="G10" i="6"/>
  <c r="G14"/>
  <c r="G18"/>
  <c r="G26"/>
  <c r="G12"/>
  <c r="G20"/>
  <c r="G16"/>
  <c r="G24"/>
  <c r="D8" i="23"/>
  <c r="E7" i="26"/>
  <c r="E8"/>
  <c r="E9"/>
  <c r="E11"/>
  <c r="E12"/>
  <c r="E13"/>
  <c r="E17"/>
  <c r="E19"/>
  <c r="E21"/>
  <c r="E25"/>
  <c r="E27"/>
  <c r="E5"/>
  <c r="E16"/>
  <c r="E18"/>
  <c r="E20"/>
  <c r="E24"/>
  <c r="E26"/>
  <c r="G17" i="6"/>
  <c r="A10" i="23"/>
  <c r="D9"/>
  <c r="C7"/>
  <c r="D7"/>
  <c r="E5" i="5"/>
  <c r="G5"/>
  <c r="E4"/>
  <c r="E6"/>
  <c r="D49" i="26"/>
  <c r="E49"/>
  <c r="D41"/>
  <c r="D35"/>
  <c r="E35"/>
  <c r="F20" i="3"/>
  <c r="F21"/>
  <c r="B9" i="23"/>
  <c r="C27"/>
  <c r="D27"/>
  <c r="D52" i="4"/>
  <c r="D49"/>
  <c r="D33"/>
  <c r="C57"/>
  <c r="E52"/>
  <c r="C29"/>
  <c r="C29" i="6"/>
  <c r="D6"/>
  <c r="H6"/>
  <c r="F5" i="5"/>
  <c r="F4"/>
  <c r="C12"/>
  <c r="F6"/>
  <c r="C8" i="7"/>
  <c r="D7"/>
  <c r="E7"/>
  <c r="D50" i="26"/>
  <c r="E20" i="3"/>
  <c r="E21"/>
  <c r="C9" i="23"/>
  <c r="D26" i="6"/>
  <c r="H26"/>
  <c r="D24"/>
  <c r="H24"/>
  <c r="D20"/>
  <c r="H20"/>
  <c r="D18"/>
  <c r="H18"/>
  <c r="D16"/>
  <c r="H16"/>
  <c r="G7" i="3"/>
  <c r="G8"/>
  <c r="E6" i="26"/>
  <c r="E10"/>
  <c r="E15"/>
  <c r="E29"/>
  <c r="G10"/>
  <c r="G11"/>
  <c r="G12"/>
  <c r="E23"/>
  <c r="E14"/>
  <c r="E22"/>
  <c r="D18" i="25"/>
  <c r="D22"/>
  <c r="D26"/>
  <c r="D33" i="26"/>
  <c r="G33" a="1"/>
  <c r="G33"/>
  <c r="G34"/>
  <c r="G35"/>
  <c r="C57"/>
  <c r="D27" i="6"/>
  <c r="H27"/>
  <c r="D17"/>
  <c r="H17"/>
  <c r="D11"/>
  <c r="H11"/>
  <c r="A13" i="24" a="1"/>
  <c r="G6" i="6"/>
  <c r="G22"/>
  <c r="G8"/>
  <c r="G9"/>
  <c r="G25"/>
  <c r="D52" i="26"/>
  <c r="D44"/>
  <c r="E44"/>
  <c r="E10" i="4"/>
  <c r="E43"/>
  <c r="E6"/>
  <c r="E15"/>
  <c r="E23"/>
  <c r="E11"/>
  <c r="E19"/>
  <c r="E24"/>
  <c r="E9"/>
  <c r="E17"/>
  <c r="E27"/>
  <c r="E20"/>
  <c r="E7"/>
  <c r="E21"/>
  <c r="E26"/>
  <c r="E25"/>
  <c r="E13"/>
  <c r="E18"/>
  <c r="E12"/>
  <c r="E16"/>
  <c r="E8"/>
  <c r="B10" i="23"/>
  <c r="C10"/>
  <c r="A11"/>
  <c r="D10"/>
  <c r="E37" i="26"/>
  <c r="E47"/>
  <c r="E39"/>
  <c r="E34"/>
  <c r="E48"/>
  <c r="E51"/>
  <c r="E40"/>
  <c r="E55"/>
  <c r="E38"/>
  <c r="E54"/>
  <c r="E36"/>
  <c r="E46"/>
  <c r="E33"/>
  <c r="E43"/>
  <c r="E45"/>
  <c r="E42"/>
  <c r="E53"/>
  <c r="C11" i="5"/>
  <c r="G4"/>
  <c r="B13" i="24"/>
  <c r="B14"/>
  <c r="A13"/>
  <c r="A14"/>
  <c r="D8" i="7"/>
  <c r="C9"/>
  <c r="E50" i="26"/>
  <c r="G33" i="4" a="1"/>
  <c r="G33"/>
  <c r="G34"/>
  <c r="G35"/>
  <c r="E22"/>
  <c r="E52" i="26"/>
  <c r="E41" i="4"/>
  <c r="D22" i="6"/>
  <c r="H22"/>
  <c r="E33" i="4"/>
  <c r="E41" i="26"/>
  <c r="G6" i="5"/>
  <c r="D25" i="6"/>
  <c r="H25"/>
  <c r="D15"/>
  <c r="H15"/>
  <c r="D9"/>
  <c r="H9"/>
  <c r="D7"/>
  <c r="H7"/>
  <c r="D10"/>
  <c r="H10"/>
  <c r="D23"/>
  <c r="H23"/>
  <c r="D13"/>
  <c r="H13"/>
  <c r="D14"/>
  <c r="H14"/>
  <c r="D21"/>
  <c r="H21"/>
  <c r="D12"/>
  <c r="H12"/>
  <c r="D19"/>
  <c r="H19"/>
  <c r="D5"/>
  <c r="H5"/>
  <c r="E42" i="4"/>
  <c r="E50"/>
  <c r="E38"/>
  <c r="E55"/>
  <c r="E48"/>
  <c r="E35"/>
  <c r="E51"/>
  <c r="E45"/>
  <c r="E44"/>
  <c r="E39"/>
  <c r="E54"/>
  <c r="E46"/>
  <c r="E40"/>
  <c r="E53"/>
  <c r="E36"/>
  <c r="E47"/>
  <c r="E5"/>
  <c r="E14"/>
  <c r="E8" i="7"/>
  <c r="E49" i="4"/>
  <c r="E34"/>
  <c r="E37"/>
  <c r="D8" i="6"/>
  <c r="H8"/>
  <c r="C10" i="7"/>
  <c r="D9"/>
  <c r="E9"/>
  <c r="A12" i="23"/>
  <c r="B11"/>
  <c r="C11"/>
  <c r="E57" i="26"/>
  <c r="G38"/>
  <c r="G39"/>
  <c r="G40"/>
  <c r="E29" i="4"/>
  <c r="G10"/>
  <c r="G11"/>
  <c r="G12"/>
  <c r="E57"/>
  <c r="G38"/>
  <c r="G39"/>
  <c r="G40"/>
  <c r="G7" i="5"/>
  <c r="C13"/>
  <c r="C14"/>
  <c r="H29" i="6"/>
  <c r="H34"/>
  <c r="H35"/>
  <c r="D13" i="24" a="1"/>
  <c r="D13"/>
  <c r="A16"/>
  <c r="D14"/>
  <c r="D10" i="7"/>
  <c r="E10"/>
  <c r="C11"/>
  <c r="D11" i="23"/>
  <c r="B12"/>
  <c r="A13"/>
  <c r="D12"/>
  <c r="C12"/>
  <c r="A14"/>
  <c r="D13"/>
  <c r="C13"/>
  <c r="B13"/>
  <c r="E20" i="24"/>
  <c r="E19"/>
  <c r="D11" i="7"/>
  <c r="E11"/>
  <c r="C12"/>
  <c r="A17" i="24"/>
  <c r="B14" i="23"/>
  <c r="C14"/>
  <c r="A15"/>
  <c r="D12" i="7"/>
  <c r="E12"/>
  <c r="C13"/>
  <c r="E21" i="24"/>
  <c r="A16" i="23"/>
  <c r="B15"/>
  <c r="C15"/>
  <c r="D15"/>
  <c r="D13" i="7"/>
  <c r="E13"/>
  <c r="C14"/>
  <c r="D14" i="23"/>
  <c r="B16"/>
  <c r="C16"/>
  <c r="A17"/>
  <c r="D16"/>
  <c r="D14" i="7"/>
  <c r="E14"/>
  <c r="C15"/>
  <c r="D15"/>
  <c r="E15"/>
  <c r="C16"/>
  <c r="A18" i="23"/>
  <c r="D17"/>
  <c r="C17"/>
  <c r="B17"/>
  <c r="E16" i="7"/>
  <c r="B18" i="23"/>
  <c r="D18"/>
  <c r="A19"/>
  <c r="D16" i="7"/>
  <c r="C17"/>
  <c r="C18"/>
  <c r="D17"/>
  <c r="E17"/>
  <c r="A20" i="23"/>
  <c r="B19"/>
  <c r="D19"/>
  <c r="C18"/>
  <c r="D18" i="7"/>
  <c r="E18"/>
  <c r="C19"/>
  <c r="C19" i="23"/>
  <c r="B20"/>
  <c r="D20"/>
  <c r="A21"/>
  <c r="C20"/>
  <c r="E19" i="7"/>
  <c r="A22" i="23"/>
  <c r="D21"/>
  <c r="C21"/>
  <c r="B21"/>
  <c r="D19" i="7"/>
  <c r="C20"/>
  <c r="D20"/>
  <c r="E20"/>
  <c r="C21"/>
  <c r="B22" i="23"/>
  <c r="A23"/>
  <c r="D22"/>
  <c r="C22"/>
  <c r="A24"/>
  <c r="B23"/>
  <c r="C23"/>
  <c r="C22" i="7"/>
  <c r="D21"/>
  <c r="E21"/>
  <c r="E22"/>
  <c r="D22"/>
  <c r="C23"/>
  <c r="B24" i="23"/>
  <c r="C24"/>
  <c r="A25"/>
  <c r="D23"/>
  <c r="A26"/>
  <c r="D25"/>
  <c r="C25"/>
  <c r="B25"/>
  <c r="D23" i="7"/>
  <c r="C24"/>
  <c r="D24" i="23"/>
  <c r="E23" i="7"/>
  <c r="D24"/>
  <c r="C25"/>
  <c r="B26" i="23"/>
  <c r="C26"/>
  <c r="D26"/>
  <c r="E24" i="7"/>
  <c r="C26"/>
  <c r="D25"/>
  <c r="E25"/>
  <c r="D26"/>
  <c r="E26"/>
  <c r="C27"/>
  <c r="E27"/>
  <c r="D27"/>
  <c r="C28"/>
  <c r="D28"/>
  <c r="E28"/>
  <c r="C29"/>
  <c r="E29"/>
  <c r="C30"/>
  <c r="D29"/>
  <c r="D30"/>
  <c r="E30"/>
  <c r="C31"/>
  <c r="D31"/>
  <c r="E31"/>
  <c r="C32"/>
  <c r="D32"/>
  <c r="E32"/>
  <c r="C33"/>
  <c r="E33"/>
  <c r="C34"/>
  <c r="D33"/>
  <c r="D34"/>
  <c r="E34"/>
  <c r="C35"/>
  <c r="E35"/>
  <c r="D35"/>
  <c r="C36"/>
  <c r="D36"/>
  <c r="E36"/>
  <c r="C37"/>
  <c r="E37"/>
  <c r="C38"/>
  <c r="D37"/>
  <c r="D38"/>
  <c r="E38"/>
  <c r="C39"/>
  <c r="E39"/>
  <c r="D39"/>
  <c r="C40"/>
  <c r="D40"/>
  <c r="E40"/>
  <c r="C41"/>
  <c r="E41"/>
  <c r="C42"/>
  <c r="D41"/>
  <c r="D42"/>
  <c r="E42"/>
  <c r="C43"/>
  <c r="E43"/>
  <c r="D43"/>
  <c r="C44"/>
  <c r="D44"/>
  <c r="E44"/>
  <c r="C45"/>
  <c r="E45"/>
  <c r="C46"/>
  <c r="D45"/>
  <c r="D46"/>
  <c r="E46"/>
  <c r="C47"/>
  <c r="E47"/>
  <c r="D47"/>
  <c r="C48"/>
  <c r="D48"/>
  <c r="E48"/>
  <c r="C49"/>
  <c r="E49"/>
  <c r="C50"/>
  <c r="D49"/>
  <c r="D50"/>
  <c r="E50"/>
  <c r="C51"/>
  <c r="E51"/>
  <c r="D51"/>
  <c r="C52"/>
  <c r="D52"/>
  <c r="E52"/>
  <c r="C53"/>
  <c r="E53"/>
  <c r="C54"/>
  <c r="D53"/>
  <c r="D54"/>
  <c r="E54"/>
  <c r="C55"/>
  <c r="E55"/>
  <c r="D55"/>
  <c r="C56"/>
  <c r="E56"/>
  <c r="D56"/>
  <c r="C57"/>
  <c r="C58"/>
  <c r="D58"/>
  <c r="D57"/>
  <c r="E57"/>
  <c r="E58"/>
  <c r="B10"/>
  <c r="F6" i="42" l="1"/>
  <c r="G6"/>
  <c r="H5"/>
  <c r="E7"/>
  <c r="E8" l="1"/>
  <c r="H6"/>
  <c r="G7"/>
  <c r="E9" l="1"/>
  <c r="H7"/>
  <c r="F7"/>
  <c r="E10" l="1"/>
  <c r="F8"/>
  <c r="G8"/>
  <c r="E11" l="1"/>
  <c r="F9"/>
  <c r="G9"/>
  <c r="H8"/>
  <c r="F10" l="1"/>
  <c r="G10"/>
  <c r="H9"/>
  <c r="F11" l="1"/>
  <c r="G11"/>
  <c r="H10"/>
  <c r="H11" l="1"/>
</calcChain>
</file>

<file path=xl/comments1.xml><?xml version="1.0" encoding="utf-8"?>
<comments xmlns="http://schemas.openxmlformats.org/spreadsheetml/2006/main">
  <authors>
    <author>Unknown User</author>
  </authors>
  <commentList>
    <comment ref="C6" authorId="0">
      <text>
        <r>
          <rPr>
            <sz val="8"/>
            <color indexed="81"/>
            <rFont val="Tahoma"/>
            <family val="2"/>
          </rPr>
          <t>Weak Sales Outcome; It's best if the expected level of sales equals $15,000,000.</t>
        </r>
      </text>
    </comment>
    <comment ref="D6" authorId="0">
      <text>
        <r>
          <rPr>
            <sz val="8"/>
            <color indexed="81"/>
            <rFont val="Tahoma"/>
            <family val="2"/>
          </rPr>
          <t>Strong Sales Outcome. It's best if the Expected Sales level equals $15,000,000.</t>
        </r>
      </text>
    </comment>
    <comment ref="B7" authorId="0">
      <text>
        <r>
          <rPr>
            <sz val="8"/>
            <color indexed="81"/>
            <rFont val="Tahoma"/>
            <family val="2"/>
          </rPr>
          <t>Enter a value between 0 and .6.</t>
        </r>
      </text>
    </comment>
    <comment ref="E22" authorId="0">
      <text>
        <r>
          <rPr>
            <sz val="8"/>
            <color indexed="81"/>
            <rFont val="Tahoma"/>
            <family val="2"/>
          </rPr>
          <t>Enter dollar amount of $28,000,000 in assets to be financed with debt.</t>
        </r>
      </text>
    </comment>
  </commentList>
</comments>
</file>

<file path=xl/sharedStrings.xml><?xml version="1.0" encoding="utf-8"?>
<sst xmlns="http://schemas.openxmlformats.org/spreadsheetml/2006/main" count="623" uniqueCount="451">
  <si>
    <t>F</t>
  </si>
  <si>
    <t>c</t>
  </si>
  <si>
    <t>n</t>
  </si>
  <si>
    <t>Bond Details</t>
  </si>
  <si>
    <t>t</t>
  </si>
  <si>
    <t>k</t>
  </si>
  <si>
    <t>PV[CF(t)]</t>
  </si>
  <si>
    <t>Calculating the Market Portfolio, Efficient Frontier and Capital Market Line</t>
  </si>
  <si>
    <t>E[R1] =</t>
  </si>
  <si>
    <t>E[R2] =</t>
  </si>
  <si>
    <t>Portfolio Inputs</t>
  </si>
  <si>
    <t>Sigma 1=</t>
  </si>
  <si>
    <t>Sigma 2=</t>
  </si>
  <si>
    <t>Sigma1,2=</t>
  </si>
  <si>
    <t xml:space="preserve">Rf = </t>
  </si>
  <si>
    <t>System of Equations to Solve Simultaneously</t>
  </si>
  <si>
    <t>.13-.04 = .64z1 + (-.2)z2</t>
  </si>
  <si>
    <t>.07-.04 = (-.2)z1+.64  z2</t>
  </si>
  <si>
    <t>=z1</t>
  </si>
  <si>
    <t>=z2</t>
  </si>
  <si>
    <t>=w1</t>
  </si>
  <si>
    <t>=w2</t>
  </si>
  <si>
    <t>E[Rp] = w1E[R1} + w2E[R2] =</t>
  </si>
  <si>
    <t xml:space="preserve">sigma p = </t>
  </si>
  <si>
    <t>Theta p =</t>
  </si>
  <si>
    <t>Inputs</t>
  </si>
  <si>
    <t>The worksheets presented here are arranged by topics covered in lectures.</t>
  </si>
  <si>
    <t>Lecture topics are identified in the tabs at the bottoms of the worksheets.</t>
  </si>
  <si>
    <t>It may be useful to use these worksheets in conjunction with your</t>
  </si>
  <si>
    <t>lecture notes to follow the computations. Also, these worksheets may</t>
  </si>
  <si>
    <t>be useful to students who were unable to attend certain lectures.</t>
  </si>
  <si>
    <t>Coefficients Matrix to Invert; Variance-Covariance Matrix</t>
  </si>
  <si>
    <t>Solving the system</t>
  </si>
  <si>
    <t>Obtaining weights from z-values</t>
  </si>
  <si>
    <t>Portfolio Return</t>
  </si>
  <si>
    <t>Portfolio Risk</t>
  </si>
  <si>
    <t>Slope of the CML</t>
  </si>
  <si>
    <t>Bond Valuation Example</t>
  </si>
  <si>
    <t xml:space="preserve">We wish to value a 30-year 10% coupon bond with a face value equal to $1000. Assume a discount rate equal to 6%. </t>
  </si>
  <si>
    <t xml:space="preserve">     t</t>
  </si>
  <si>
    <t>PV Bond</t>
  </si>
  <si>
    <t>B9 is the sum of</t>
  </si>
  <si>
    <t xml:space="preserve">   discounted cash</t>
  </si>
  <si>
    <t xml:space="preserve">   flows on from the</t>
  </si>
  <si>
    <t xml:space="preserve">   bond.</t>
  </si>
  <si>
    <t>B10 is based on</t>
  </si>
  <si>
    <t xml:space="preserve">   the PV Annuity</t>
  </si>
  <si>
    <t xml:space="preserve">   as applied to bond</t>
  </si>
  <si>
    <t xml:space="preserve">   valuation.</t>
  </si>
  <si>
    <t>On this worksheet, we make use of use historical stock price quotes provided by Yahoo (See http://webpage.pace.edu/jteall/spreadsheets.htm for information).</t>
  </si>
  <si>
    <t>Two years of monthly price quote for GM and PCS  are downloaded in spreadsheet format from Yahoo. Then monthly returns are computed in Column G. One</t>
  </si>
  <si>
    <t>is added to each of the returns in column H. Geometric mean returns are computed in Column J.</t>
  </si>
  <si>
    <t>GM Stock: October, 2000 to September 2002, Monthly Returns</t>
  </si>
  <si>
    <t>Date</t>
  </si>
  <si>
    <t>Open</t>
  </si>
  <si>
    <t>High</t>
  </si>
  <si>
    <t>Low</t>
  </si>
  <si>
    <t>Close</t>
  </si>
  <si>
    <t>Volume</t>
  </si>
  <si>
    <t>r(t)</t>
  </si>
  <si>
    <t>1+r(t)</t>
  </si>
  <si>
    <t>PI(1+r(t))</t>
  </si>
  <si>
    <t>The product of (1+r(t)) for 24 months</t>
  </si>
  <si>
    <t>ROG(g)</t>
  </si>
  <si>
    <t>The geometric mean return over the 24 month period</t>
  </si>
  <si>
    <t>ROI(g)/Yr</t>
  </si>
  <si>
    <t>The annualized geometric mean rate of return</t>
  </si>
  <si>
    <t>N/A</t>
  </si>
  <si>
    <t>PCS Stock: October, 2000 to September 2002, Monthly Returns</t>
  </si>
  <si>
    <t>Computing Variances and Standard Deviations of Returns</t>
  </si>
  <si>
    <t>Returns are computed in the "Geometric Returns" Worksheet for GM and PCS from which to compute variances and standard deviations in Column G.</t>
  </si>
  <si>
    <t>(Ri-E[Ri])^2 / 23</t>
  </si>
  <si>
    <t>VAR(GM)</t>
  </si>
  <si>
    <t>The monthly return variance</t>
  </si>
  <si>
    <t>StD(GM)</t>
  </si>
  <si>
    <t>The monthly return standard deviation</t>
  </si>
  <si>
    <t>The annual return standard deviation</t>
  </si>
  <si>
    <t xml:space="preserve">    E[R] = </t>
  </si>
  <si>
    <t xml:space="preserve">    VAR =</t>
  </si>
  <si>
    <t>VAR(PCS)</t>
  </si>
  <si>
    <t>StD(PCS)</t>
  </si>
  <si>
    <t>Returns are computed in the "Geometric Returns" Worksheet for GM and PCS from which to compute covariances and Corelation Coefficients in Column G.</t>
  </si>
  <si>
    <t>GM And PCS Stock: October 2000 to September 2002, Monthly Returns</t>
  </si>
  <si>
    <t>Close P(GM)</t>
  </si>
  <si>
    <t>r(t)GM</t>
  </si>
  <si>
    <t>(RiGM-E[RiGM])</t>
  </si>
  <si>
    <t>Close P(PCS)</t>
  </si>
  <si>
    <t>r(t)PCS</t>
  </si>
  <si>
    <t>(RiPCS-E[RiPCS])</t>
  </si>
  <si>
    <t xml:space="preserve">  COV[GM,PCS] =</t>
  </si>
  <si>
    <t>Covariance</t>
  </si>
  <si>
    <t xml:space="preserve">   VAR[GM] =</t>
  </si>
  <si>
    <t xml:space="preserve">   VAR[PCS] =</t>
  </si>
  <si>
    <t xml:space="preserve">   StD[GM] =</t>
  </si>
  <si>
    <t xml:space="preserve">   StD[PCS] =</t>
  </si>
  <si>
    <t>Corr.Coef[GM,PCS]=</t>
  </si>
  <si>
    <t>Correlation Coefficient</t>
  </si>
  <si>
    <t>r-square</t>
  </si>
  <si>
    <t>Yield to Maturity Example</t>
  </si>
  <si>
    <t>Guess for y</t>
  </si>
  <si>
    <t>Initial Bond Price</t>
  </si>
  <si>
    <t>Enter Bond data into Column B of the Yellow Region.  Revise your y estimate until you are sufficiently close to the bond's correct yield.</t>
  </si>
  <si>
    <t>Note: This calculator assumes that coupon payments are made annually beginning in one year.</t>
  </si>
  <si>
    <t>Computing Return Covariances: Real Price Data</t>
  </si>
  <si>
    <t>Computing Variances and Standard Deviations of Returns: Real Price Data</t>
  </si>
  <si>
    <t>Computing Geometric Mean Return on Investment: Real Price Data</t>
  </si>
  <si>
    <t>Expected Return, Variance and Standard Deviation</t>
  </si>
  <si>
    <t>Stock A</t>
  </si>
  <si>
    <t xml:space="preserve"> i</t>
  </si>
  <si>
    <t xml:space="preserve">    R(i)</t>
  </si>
  <si>
    <t xml:space="preserve">   P(i)</t>
  </si>
  <si>
    <t>R(i)P(i)</t>
  </si>
  <si>
    <t>R(i)-E[R(i)]</t>
  </si>
  <si>
    <t>(R(i)-E[R(i)])^2</t>
  </si>
  <si>
    <t>(R(i)-E[R(i)])^2*P(i)</t>
  </si>
  <si>
    <t xml:space="preserve">    E[R] =</t>
  </si>
  <si>
    <t xml:space="preserve">     Variance =</t>
  </si>
  <si>
    <t xml:space="preserve">      Standard Deviation = </t>
  </si>
  <si>
    <t>Historical Variances for Stocks A and B</t>
  </si>
  <si>
    <t xml:space="preserve">  R(A,t)</t>
  </si>
  <si>
    <t xml:space="preserve">  R(B,t)</t>
  </si>
  <si>
    <t>Squared</t>
  </si>
  <si>
    <t>Differences</t>
  </si>
  <si>
    <t>for A and B</t>
  </si>
  <si>
    <t>divided by eight</t>
  </si>
  <si>
    <t>Variances of A and B</t>
  </si>
  <si>
    <t>Average Returns</t>
  </si>
  <si>
    <t>Standard Deviations of A and B</t>
  </si>
  <si>
    <t>Returns Covariance</t>
  </si>
  <si>
    <t xml:space="preserve">   Stocks A and B</t>
  </si>
  <si>
    <t xml:space="preserve">    R(A,i)</t>
  </si>
  <si>
    <t xml:space="preserve">   R(B,i)</t>
  </si>
  <si>
    <t xml:space="preserve">        P(i)</t>
  </si>
  <si>
    <t>(R(A,i)-E[R(A)])</t>
  </si>
  <si>
    <t>(R(B,i)-E[R(B)])</t>
  </si>
  <si>
    <t>Product of Deviations and Probability</t>
  </si>
  <si>
    <t>Covariance =</t>
  </si>
  <si>
    <t>E[R(A)] =</t>
  </si>
  <si>
    <t>E[R(B)] =</t>
  </si>
  <si>
    <t>s(A) =</t>
  </si>
  <si>
    <t>s(B) =</t>
  </si>
  <si>
    <t>r (A,B) =</t>
  </si>
  <si>
    <r>
      <t>r</t>
    </r>
    <r>
      <rPr>
        <b/>
        <vertAlign val="superscript"/>
        <sz val="10"/>
        <rFont val="Symbol"/>
        <family val="1"/>
        <charset val="2"/>
      </rPr>
      <t>2</t>
    </r>
    <r>
      <rPr>
        <b/>
        <sz val="10"/>
        <rFont val="Symbol"/>
        <family val="1"/>
        <charset val="2"/>
      </rPr>
      <t>(A,B) =</t>
    </r>
  </si>
  <si>
    <t>Structuring a Portfolio Possibilities Frontier</t>
  </si>
  <si>
    <t>Portfolio Inputs for a Two-Security Portfolio</t>
  </si>
  <si>
    <t>w1</t>
  </si>
  <si>
    <t>w2</t>
  </si>
  <si>
    <r>
      <t>s</t>
    </r>
    <r>
      <rPr>
        <b/>
        <sz val="10"/>
        <rFont val="Arial"/>
        <family val="2"/>
      </rPr>
      <t>p</t>
    </r>
  </si>
  <si>
    <t>E[Rp]</t>
  </si>
  <si>
    <t>This worksheet measures the impact of adding securities</t>
  </si>
  <si>
    <t>to a portfolio on the risk of the portfolio.  Assume that all</t>
  </si>
  <si>
    <t>security standard deviations are the same and all correlation</t>
  </si>
  <si>
    <t>coefficients between pairs of securities are the same.  Enter</t>
  </si>
  <si>
    <t xml:space="preserve">average values in the yellow area and look below to see the </t>
  </si>
  <si>
    <t>portfolio standard deviation as a function of the number of</t>
  </si>
  <si>
    <t>securities in the portfolio.</t>
  </si>
  <si>
    <t>Enter below averages for security:</t>
  </si>
  <si>
    <t>sigma</t>
  </si>
  <si>
    <t>rho</t>
  </si>
  <si>
    <t>Resulting portfolio standard deviation</t>
  </si>
  <si>
    <t># stocks</t>
  </si>
  <si>
    <t>St. Dev.</t>
  </si>
  <si>
    <t>% of diversifiable risk eliminated</t>
  </si>
  <si>
    <t>1 stock</t>
  </si>
  <si>
    <t>2 stocks</t>
  </si>
  <si>
    <t>3 stocks</t>
  </si>
  <si>
    <t>4 stocks</t>
  </si>
  <si>
    <t>5 stocks</t>
  </si>
  <si>
    <t>10 stocks</t>
  </si>
  <si>
    <t>20 stocks</t>
  </si>
  <si>
    <t>30 stocks</t>
  </si>
  <si>
    <t>50 stocks</t>
  </si>
  <si>
    <t>100 stocks</t>
  </si>
  <si>
    <t>1000 stocks</t>
  </si>
  <si>
    <t>99999 stocks</t>
  </si>
  <si>
    <t>9999999 stocks</t>
  </si>
  <si>
    <t>Or, enter number of stocks:</t>
  </si>
  <si>
    <t>= standard deviation</t>
  </si>
  <si>
    <t>= % of diversifiable risk eliminated</t>
  </si>
  <si>
    <t>Diversification and Risk Reduction</t>
  </si>
  <si>
    <t>Perhaps, most students will find this collection of worksheets useful in</t>
  </si>
  <si>
    <t>understanding many of the more quantitative topics discussed in the</t>
  </si>
  <si>
    <t>course and provide opportunities to practice many of the computations.</t>
  </si>
  <si>
    <t>In many instances, students can use these worksheets to create</t>
  </si>
  <si>
    <t>additional problems which can be worked through by hand and then</t>
  </si>
  <si>
    <t>checked with solutions given on the worksheets.</t>
  </si>
  <si>
    <t>This worksheet can also be used to value other bonds with n between 1 and 53 by changing values in the yellow table.</t>
  </si>
  <si>
    <t>NAV and Fund Returns</t>
  </si>
  <si>
    <t>Investor</t>
  </si>
  <si>
    <t>Fund</t>
  </si>
  <si>
    <t>Number of</t>
  </si>
  <si>
    <t>Net Asset</t>
  </si>
  <si>
    <t>Trading</t>
  </si>
  <si>
    <t>Contributions</t>
  </si>
  <si>
    <t>Withdrawals</t>
  </si>
  <si>
    <t>Dividends</t>
  </si>
  <si>
    <t>Assets</t>
  </si>
  <si>
    <t>Shares</t>
  </si>
  <si>
    <t>Value</t>
  </si>
  <si>
    <r>
      <t>return (r</t>
    </r>
    <r>
      <rPr>
        <b/>
        <u/>
        <vertAlign val="subscript"/>
        <sz val="11"/>
        <color theme="1"/>
        <rFont val="Calibri"/>
        <family val="2"/>
        <scheme val="minor"/>
      </rPr>
      <t>t</t>
    </r>
    <r>
      <rPr>
        <b/>
        <u/>
        <sz val="11"/>
        <color theme="1"/>
        <rFont val="Calibri"/>
        <family val="2"/>
        <scheme val="minor"/>
      </rPr>
      <t>)</t>
    </r>
  </si>
  <si>
    <t>Profits</t>
  </si>
  <si>
    <t>(3-day return)</t>
  </si>
  <si>
    <r>
      <t>(1 + r</t>
    </r>
    <r>
      <rPr>
        <b/>
        <u/>
        <vertAlign val="subscript"/>
        <sz val="11"/>
        <color theme="1"/>
        <rFont val="Calibri"/>
        <family val="2"/>
        <scheme val="minor"/>
      </rPr>
      <t>t</t>
    </r>
    <r>
      <rPr>
        <b/>
        <u/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</si>
  <si>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  <scheme val="minor"/>
      </rPr>
      <t>(1 + r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</si>
  <si>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  <scheme val="minor"/>
      </rPr>
      <t>(1 + r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)^(1/9)</t>
    </r>
  </si>
  <si>
    <t>Capital Budgeting Example: Truck Replacement Deision</t>
  </si>
  <si>
    <t>A furniture wholesaler is considering the replacement of a truck that it has been using for 3 years. The new truck can</t>
  </si>
  <si>
    <t>be purchased for $22,000 and has a life epectancy of 17 years. It will cost $200 next year to maintain, but this</t>
  </si>
  <si>
    <t>maintenance cost is expected to rise at an annual rate of 7%. The old truck, purchased 3 years ago for $12,000</t>
  </si>
  <si>
    <t>originally had a life expectancy of 20 years. Its current trade-in value is $6,000 and its salvage value is $500. The</t>
  </si>
  <si>
    <t>new truck will have a salvage value of $1000 and both will be depreciated on a straight line basis. The growth rate</t>
  </si>
  <si>
    <t>on maintenance costs for the new truck is expected to be 7%, with cost next year of $200. The company</t>
  </si>
  <si>
    <t>operates in the 40% income tax bracket and discounts all cash flows at an annual rate of 8%. Other than details</t>
  </si>
  <si>
    <t>already presented in this statement, there will be no operating differences between the old and new trucks. Should</t>
  </si>
  <si>
    <t>the firm replace the old truck with the new truck? How about if the trade-in value of the old truck were $12,000?</t>
  </si>
  <si>
    <t>Restatement of Problem Details:</t>
  </si>
  <si>
    <t>P(-3) =</t>
  </si>
  <si>
    <t>Tax Rate</t>
  </si>
  <si>
    <t>n(Old) =</t>
  </si>
  <si>
    <t>P(New,0) =</t>
  </si>
  <si>
    <t>k=</t>
  </si>
  <si>
    <t>n(New) =</t>
  </si>
  <si>
    <t>Maint(Old) =</t>
  </si>
  <si>
    <t>2000/yr</t>
  </si>
  <si>
    <t>Depr=</t>
  </si>
  <si>
    <t>SL</t>
  </si>
  <si>
    <t>g(Main.Old) =</t>
  </si>
  <si>
    <t>Maint(New) =</t>
  </si>
  <si>
    <t>200/yr</t>
  </si>
  <si>
    <t>SV(Old) =</t>
  </si>
  <si>
    <t>g(Main.New) =</t>
  </si>
  <si>
    <t>TIV(Old) =</t>
  </si>
  <si>
    <t>SV(New) =</t>
  </si>
  <si>
    <t>Preliminary Calculations:</t>
  </si>
  <si>
    <t>Depr.(Old) =</t>
  </si>
  <si>
    <t>Depr.(New)=</t>
  </si>
  <si>
    <t>Depr.Basis Old =</t>
  </si>
  <si>
    <t>Acc.Depr.Old =</t>
  </si>
  <si>
    <t xml:space="preserve">BV(Old) = </t>
  </si>
  <si>
    <t>Capital Gain Old =</t>
  </si>
  <si>
    <t>NPV Calculations:</t>
  </si>
  <si>
    <t>NPV(OLD)=</t>
  </si>
  <si>
    <t>NPV(NEW)=</t>
  </si>
  <si>
    <t>Part 2 NPV Calculations:</t>
  </si>
  <si>
    <t>Saving for a House</t>
  </si>
  <si>
    <t>The plan here is to save $1000 every month for 8 years.</t>
  </si>
  <si>
    <t xml:space="preserve">   How much will be saved in a bank account paying 6%</t>
  </si>
  <si>
    <t xml:space="preserve">   per year (.05% per month) after 8 years?</t>
  </si>
  <si>
    <t>X</t>
  </si>
  <si>
    <t>I</t>
  </si>
  <si>
    <t>n (months)</t>
  </si>
  <si>
    <t>FVA Due</t>
  </si>
  <si>
    <t>B9 is the sum of payments</t>
  </si>
  <si>
    <t xml:space="preserve">   plus accumulated</t>
  </si>
  <si>
    <t xml:space="preserve">   on them</t>
  </si>
  <si>
    <t>B10 is the formula value</t>
  </si>
  <si>
    <t>These calculations are for</t>
  </si>
  <si>
    <t xml:space="preserve">   an annuity due.  This</t>
  </si>
  <si>
    <t xml:space="preserve">   means that cash flows</t>
  </si>
  <si>
    <t xml:space="preserve">   paid at the beginning of</t>
  </si>
  <si>
    <t xml:space="preserve">   each month. Each</t>
  </si>
  <si>
    <t xml:space="preserve">   payment accrues interest</t>
  </si>
  <si>
    <t xml:space="preserve">   until the end of the</t>
  </si>
  <si>
    <t xml:space="preserve">   96th month.</t>
  </si>
  <si>
    <t>Future Value of Annuity Due Calculations</t>
  </si>
  <si>
    <t>B7 is the sum of payments</t>
  </si>
  <si>
    <t>B8 is the formula value</t>
  </si>
  <si>
    <t xml:space="preserve">   each year. Each</t>
  </si>
  <si>
    <t xml:space="preserve">   30th year.</t>
  </si>
  <si>
    <t>Million Dollar Lottery Value</t>
  </si>
  <si>
    <t>One state offers a million dollar lottery where the winner actually takes home $20,000</t>
  </si>
  <si>
    <t>per year for 50 years. Alternatively, the winner can accept $400,000 immediately.  At</t>
  </si>
  <si>
    <t>a discount rate of 5%, is $400,000 now worth as much as $1,000,000 spread out over</t>
  </si>
  <si>
    <t>20 years?</t>
  </si>
  <si>
    <t>Lottery Winnings</t>
  </si>
  <si>
    <t>Number of Years</t>
  </si>
  <si>
    <t>Annual Payment</t>
  </si>
  <si>
    <t>Discount Rate</t>
  </si>
  <si>
    <t>PV of $400,000</t>
  </si>
  <si>
    <t>Apparently, a 50 year $20,000 annuity is worth $365,118.50. Hence, $400,000</t>
  </si>
  <si>
    <t>received immediately is worth more than the 20 year annuity.</t>
  </si>
  <si>
    <t xml:space="preserve">      Mortgage Computations for an Apartment</t>
  </si>
  <si>
    <t>Ms. Smith is considering the purchase of an apartment.  She will finance the apartment with</t>
  </si>
  <si>
    <t>a 20-year $240,000 mortgage amortized at an interest rate of 7%.  She will make annual</t>
  </si>
  <si>
    <t>payments on her mortgage.</t>
  </si>
  <si>
    <t>a.  What will be the amount of her annual interest payment?</t>
  </si>
  <si>
    <t>b.  Set up an appropriate amortization table for Ms. Smith.</t>
  </si>
  <si>
    <t>Inputs and Preliminary Computations</t>
  </si>
  <si>
    <t>Preliminary Computations</t>
  </si>
  <si>
    <t>Principal</t>
  </si>
  <si>
    <t>Mortgage Payment</t>
  </si>
  <si>
    <t>Interest rate</t>
  </si>
  <si>
    <t>Horizon (n)</t>
  </si>
  <si>
    <t>Amortization Table and PV of Interest Tax Deductions</t>
  </si>
  <si>
    <t>Year</t>
  </si>
  <si>
    <t>Payment</t>
  </si>
  <si>
    <t>Interest</t>
  </si>
  <si>
    <t>PMT to Prin.</t>
  </si>
  <si>
    <t>Student Loans Example</t>
  </si>
  <si>
    <t>Students frequently use the Stafford Loan Program to borrow money for college from a bank.  The bank typically</t>
  </si>
  <si>
    <t>sells the student loan to the Student Loan Marketing Association (SLMA) which then services, guarantees and sells</t>
  </si>
  <si>
    <t>the loan to inverstors.  Suppose that such a loan with a face value of $20,000 is now available to an investor at an</t>
  </si>
  <si>
    <t>annual interest rate of 3 percent to be amortized over a 10 year period. The interest will accrue monthly,</t>
  </si>
  <si>
    <t>payments will be made monthly and the investor discounts cash flows at an annual rate of 6%. What should</t>
  </si>
  <si>
    <t>the investor be willing to pay for this SLMA (Sallie Mae) obligation?</t>
  </si>
  <si>
    <t>Principal Amount of Loan</t>
  </si>
  <si>
    <t>Loan Interest Rate (per year)</t>
  </si>
  <si>
    <t>Discount Rate (per year)</t>
  </si>
  <si>
    <t>Number of months of loan (10 years)</t>
  </si>
  <si>
    <t>First, we will determine the monthly payment based on a monthly interest rate of .0025 over 120 months. Note that</t>
  </si>
  <si>
    <t>we divide the annual interest rate by 12 to obtain the monthly rate:</t>
  </si>
  <si>
    <t>Monthly Amortized Payment</t>
  </si>
  <si>
    <t>Next, we discount the monthly payments at a monthly discount rate of .005:</t>
  </si>
  <si>
    <t>Present Value of Loan Payment Series based on annuity factor</t>
  </si>
  <si>
    <t xml:space="preserve">  CF(t)  </t>
  </si>
  <si>
    <t xml:space="preserve">   t </t>
  </si>
  <si>
    <t>PV(CF(t))</t>
  </si>
  <si>
    <t xml:space="preserve">    PV of Loan:</t>
  </si>
  <si>
    <t>based on discounting individual cash flows</t>
  </si>
  <si>
    <t>Present Value Growing Perpetuity</t>
  </si>
  <si>
    <t>CF(t)</t>
  </si>
  <si>
    <t>PV of CF(t)</t>
  </si>
  <si>
    <t>Sum of PV's</t>
  </si>
  <si>
    <t>Problem Details:</t>
  </si>
  <si>
    <t>CF(1) =</t>
  </si>
  <si>
    <t xml:space="preserve">k = </t>
  </si>
  <si>
    <t xml:space="preserve">g = </t>
  </si>
  <si>
    <t>Precise Calculation:</t>
  </si>
  <si>
    <t>PV(gp) =</t>
  </si>
  <si>
    <t>CF(1)/(k-g)</t>
  </si>
  <si>
    <t xml:space="preserve">                            College Savings Plan Example</t>
  </si>
  <si>
    <r>
      <t>Problem Statement:</t>
    </r>
    <r>
      <rPr>
        <sz val="10"/>
        <rFont val="Tahoma"/>
        <family val="2"/>
      </rPr>
      <t xml:space="preserve"> My daughter is currently 11 years old. I wish to start a college savings account</t>
    </r>
  </si>
  <si>
    <t>for her where I will make my first deposit for her in one year. At this time, one year of college costs</t>
  </si>
  <si>
    <t>$46,000. I expect that this cost will increase at an annual rate of 5% for each of the next 11 years.</t>
  </si>
  <si>
    <t>I wish to increase my deposits by ten percent each year as my income increases over the next 7 years.</t>
  </si>
  <si>
    <t>I will make my last payment to her fund 7 years from now. Eight years from now, I will make my first</t>
  </si>
  <si>
    <t>payment for her first year of college. I wish to make one payment for her for each of her 4 years of</t>
  </si>
  <si>
    <t>college, then close down her account with a zero balance. All balances in her account will draw interest</t>
  </si>
  <si>
    <t>at an annual rate of 4.5%, compounded annually. What should be my first deposit amount?</t>
  </si>
  <si>
    <t>age:</t>
  </si>
  <si>
    <t>g(tuition)</t>
  </si>
  <si>
    <t>current tuition:</t>
  </si>
  <si>
    <t>int. rate</t>
  </si>
  <si>
    <t>College starts:</t>
  </si>
  <si>
    <t>7 years</t>
  </si>
  <si>
    <t>g(deposits)</t>
  </si>
  <si>
    <r>
      <t>Solution strategy</t>
    </r>
    <r>
      <rPr>
        <sz val="10"/>
        <rFont val="Tahoma"/>
        <family val="2"/>
      </rPr>
      <t xml:space="preserve">: First determine how much money will be needed to finance her college education </t>
    </r>
  </si>
  <si>
    <t>when she starts college.  That is, determine the present value of her four years of college expenses</t>
  </si>
  <si>
    <t>as of when she starts college in 7 years. Then, set up a formula that sets this present value equal to</t>
  </si>
  <si>
    <t>the future value of the stream of cash flows necessary to provide this sum. Finally solve this future value</t>
  </si>
  <si>
    <t>for the annual cash flow (deposit) amount.</t>
  </si>
  <si>
    <t>1.</t>
  </si>
  <si>
    <t>Amount needed for college savings plan by age 18</t>
  </si>
  <si>
    <t>2.</t>
  </si>
  <si>
    <t>Amount needed to deposit in first year</t>
  </si>
  <si>
    <t>Illustration:</t>
  </si>
  <si>
    <t>Age</t>
  </si>
  <si>
    <t>Beginning of Year Balance</t>
  </si>
  <si>
    <t>Deposit</t>
  </si>
  <si>
    <t>Withdrawal</t>
  </si>
  <si>
    <t>End of Year Balance</t>
  </si>
  <si>
    <t>or zero</t>
  </si>
  <si>
    <t xml:space="preserve">     Geometric Expansion</t>
  </si>
  <si>
    <t>This spreadsheet allows the user to input variables on two sides of an equation to be presented in the following format:</t>
  </si>
  <si>
    <r>
      <t>Y = cx</t>
    </r>
    <r>
      <rPr>
        <vertAlign val="superscript"/>
        <sz val="10"/>
        <rFont val="Arial"/>
        <family val="2"/>
      </rPr>
      <t>t</t>
    </r>
    <r>
      <rPr>
        <sz val="10"/>
        <rFont val="Arial"/>
        <family val="2"/>
      </rPr>
      <t xml:space="preserve"> + cx</t>
    </r>
    <r>
      <rPr>
        <vertAlign val="superscript"/>
        <sz val="10"/>
        <rFont val="Arial"/>
        <family val="2"/>
      </rPr>
      <t>t+1</t>
    </r>
    <r>
      <rPr>
        <sz val="10"/>
        <rFont val="Arial"/>
        <family val="2"/>
      </rPr>
      <t xml:space="preserve"> + cx</t>
    </r>
    <r>
      <rPr>
        <vertAlign val="superscript"/>
        <sz val="10"/>
        <rFont val="Arial"/>
        <family val="2"/>
      </rPr>
      <t>t+2</t>
    </r>
    <r>
      <rPr>
        <sz val="10"/>
        <rFont val="Arial"/>
        <family val="2"/>
      </rPr>
      <t xml:space="preserve"> + . . . + cx</t>
    </r>
    <r>
      <rPr>
        <vertAlign val="superscript"/>
        <sz val="10"/>
        <rFont val="Arial"/>
        <family val="2"/>
      </rPr>
      <t>n-1</t>
    </r>
    <r>
      <rPr>
        <sz val="10"/>
        <rFont val="Arial"/>
        <family val="2"/>
      </rPr>
      <t xml:space="preserve"> + cx</t>
    </r>
    <r>
      <rPr>
        <vertAlign val="superscript"/>
        <sz val="10"/>
        <rFont val="Arial"/>
        <family val="2"/>
      </rPr>
      <t>n</t>
    </r>
  </si>
  <si>
    <t>The value input for Y will be the left side of the equation to be expanded. The value input for c will be the coefficient for</t>
  </si>
  <si>
    <t>the variable x that will be raised to the t+i power for i=1 to n. The value t will be the starting point for the summation</t>
  </si>
  <si>
    <t>and n will be the stopping point.Input the desired variables/numbers for these below:</t>
  </si>
  <si>
    <t>Input Y</t>
  </si>
  <si>
    <t>PV</t>
  </si>
  <si>
    <t>Input c</t>
  </si>
  <si>
    <t>Input t</t>
  </si>
  <si>
    <t>Input n</t>
  </si>
  <si>
    <t>Input x</t>
  </si>
  <si>
    <t>(1+k)</t>
  </si>
  <si>
    <t>The steps of the geometric expansion are detailed below. The first line is simply the original equation to be expanded.</t>
  </si>
  <si>
    <t>The second line is the first line times the term input for x. The third line is the first minus the second. The fourth line</t>
  </si>
  <si>
    <t>is a somewhat simplified version of the third. The fourth gathers all terms to the right side of the equation except the</t>
  </si>
  <si>
    <t>value input for y.</t>
  </si>
  <si>
    <t>(1)</t>
  </si>
  <si>
    <t>(2)</t>
  </si>
  <si>
    <t>(3)</t>
  </si>
  <si>
    <t>(4)</t>
  </si>
  <si>
    <t>(5)</t>
  </si>
  <si>
    <t>Computing Internal Rates of Return</t>
  </si>
  <si>
    <t>Suppose that we want to calculate the IRR of the following investment:</t>
  </si>
  <si>
    <t>P(0) = 500, CF(1) = 100, CF(2) = 200, CF(3) = 300.</t>
  </si>
  <si>
    <t>P(0) =</t>
  </si>
  <si>
    <t>t =</t>
  </si>
  <si>
    <t>CF(t) =</t>
  </si>
  <si>
    <t>CF(2) =</t>
  </si>
  <si>
    <t xml:space="preserve">NPV = </t>
  </si>
  <si>
    <t>SUM of</t>
  </si>
  <si>
    <t>= NPV =</t>
  </si>
  <si>
    <t>CF(3) =</t>
  </si>
  <si>
    <t>r estimate=</t>
  </si>
  <si>
    <t>Yield to Maturity</t>
  </si>
  <si>
    <t>Now, let's calculate a yield to maturity (which is the IRR of a bond) for a 5 year bond (n must = 5 in this example).</t>
  </si>
  <si>
    <t>Enter bond data in cells B17:B19. Then enter your r estimate into Cell B22. Vary your r estimate until</t>
  </si>
  <si>
    <t>NPV is sufficiently close to zero.</t>
  </si>
  <si>
    <t>c =</t>
  </si>
  <si>
    <t>F =</t>
  </si>
  <si>
    <t>n =</t>
  </si>
  <si>
    <t>NPV =</t>
  </si>
  <si>
    <t>= Sum of</t>
  </si>
  <si>
    <t>Yield to Maturity: Longer Term to Maturity</t>
  </si>
  <si>
    <t>Now, let's calculate a yield to maturity for a 20 year bond (n = 20 in this example).</t>
  </si>
  <si>
    <t>Enter bond data in cells B27:B30. Then enter your r estimate into Cell B35. Vary your r estimate until</t>
  </si>
  <si>
    <t>NPV is sufficiently close to zero. In this case, n can be any number.</t>
  </si>
  <si>
    <t>y estimate</t>
  </si>
  <si>
    <t>OPERATING AND FINANCIAL LEVERAGE EXAMPLE</t>
  </si>
  <si>
    <t>Potential Tyler Company - Income Statement Data</t>
  </si>
  <si>
    <t>Rate</t>
  </si>
  <si>
    <t>Outcome 1</t>
  </si>
  <si>
    <t>Outcome 2</t>
  </si>
  <si>
    <t>Expected Levels</t>
  </si>
  <si>
    <t>Sales</t>
  </si>
  <si>
    <t>COGS</t>
  </si>
  <si>
    <t>.3</t>
  </si>
  <si>
    <t>Gross Margin</t>
  </si>
  <si>
    <t>Fixed Cost</t>
  </si>
  <si>
    <t>EBIT</t>
  </si>
  <si>
    <t>0.21428572</t>
  </si>
  <si>
    <t>EBT</t>
  </si>
  <si>
    <t>Income Taxes</t>
  </si>
  <si>
    <t>NIAT</t>
  </si>
  <si>
    <t># of shares</t>
  </si>
  <si>
    <t>EPS</t>
  </si>
  <si>
    <r>
      <t>Note: Each outcome is equally likely to occur; that is, 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 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 0.5</t>
    </r>
  </si>
  <si>
    <t>Current Tyler Company Balance Sheet</t>
  </si>
  <si>
    <t>Current Assets</t>
  </si>
  <si>
    <t>Debt</t>
  </si>
  <si>
    <t>Fixed Assets</t>
  </si>
  <si>
    <t>Equity</t>
  </si>
  <si>
    <t>Total Assets</t>
  </si>
  <si>
    <t>Capital</t>
  </si>
  <si>
    <t>Interest rate on all debt is 21.429 %</t>
  </si>
  <si>
    <t>Various Tyler Company Earnings and Statistical Data</t>
  </si>
  <si>
    <t>Current Share Value =</t>
  </si>
  <si>
    <r>
      <t>NIAT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</si>
  <si>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NIAT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</si>
  <si>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E[NIAT] =</t>
  </si>
  <si>
    <r>
      <t>ROE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</si>
  <si>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ROE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</si>
  <si>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E[ROE] =</t>
  </si>
  <si>
    <r>
      <t>s</t>
    </r>
    <r>
      <rPr>
        <b/>
        <vertAlign val="subscript"/>
        <sz val="10"/>
        <color indexed="10"/>
        <rFont val="Arial"/>
        <family val="2"/>
      </rPr>
      <t>ROE  =</t>
    </r>
  </si>
  <si>
    <t>Notice that the standard deviation of returns increases as</t>
  </si>
  <si>
    <t>DOL =</t>
  </si>
  <si>
    <t>DOL, DFL and FPL increase.</t>
  </si>
  <si>
    <t>DFL =</t>
  </si>
  <si>
    <t>FPL =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</si>
</sst>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"/>
    <numFmt numFmtId="166" formatCode="0.000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Symbol"/>
      <family val="1"/>
      <charset val="2"/>
    </font>
    <font>
      <b/>
      <vertAlign val="superscript"/>
      <sz val="10"/>
      <name val="Symbol"/>
      <family val="1"/>
      <charset val="2"/>
    </font>
    <font>
      <b/>
      <sz val="10"/>
      <name val="Arial"/>
      <family val="2"/>
    </font>
    <font>
      <b/>
      <sz val="12"/>
      <name val="Symbol"/>
      <family val="1"/>
      <charset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vertAlign val="superscript"/>
      <sz val="10"/>
      <name val="Arial"/>
      <family val="2"/>
    </font>
    <font>
      <b/>
      <i/>
      <u/>
      <sz val="10"/>
      <name val="Arial"/>
      <family val="2"/>
    </font>
    <font>
      <u val="singleAccounting"/>
      <sz val="10"/>
      <name val="Arial"/>
      <family val="2"/>
    </font>
    <font>
      <vertAlign val="subscript"/>
      <sz val="10"/>
      <name val="Arial"/>
      <family val="2"/>
    </font>
    <font>
      <b/>
      <sz val="10"/>
      <color indexed="10"/>
      <name val="Symbol"/>
      <family val="1"/>
      <charset val="2"/>
    </font>
    <font>
      <b/>
      <vertAlign val="subscript"/>
      <sz val="10"/>
      <color indexed="10"/>
      <name val="Arial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6" fillId="0" borderId="0"/>
    <xf numFmtId="0" fontId="17" fillId="0" borderId="0"/>
    <xf numFmtId="0" fontId="3" fillId="0" borderId="0"/>
    <xf numFmtId="0" fontId="2" fillId="0" borderId="0"/>
    <xf numFmtId="0" fontId="1" fillId="0" borderId="0"/>
    <xf numFmtId="0" fontId="24" fillId="0" borderId="0"/>
    <xf numFmtId="44" fontId="6" fillId="0" borderId="0" applyFont="0" applyFill="0" applyBorder="0" applyAlignment="0" applyProtection="0"/>
  </cellStyleXfs>
  <cellXfs count="92">
    <xf numFmtId="0" fontId="0" fillId="0" borderId="0" xfId="0"/>
    <xf numFmtId="0" fontId="5" fillId="0" borderId="0" xfId="0" applyFont="1"/>
    <xf numFmtId="0" fontId="0" fillId="2" borderId="0" xfId="0" applyFill="1"/>
    <xf numFmtId="0" fontId="7" fillId="0" borderId="0" xfId="0" applyFont="1"/>
    <xf numFmtId="0" fontId="0" fillId="0" borderId="0" xfId="0" quotePrefix="1"/>
    <xf numFmtId="0" fontId="0" fillId="3" borderId="0" xfId="0" applyFill="1"/>
    <xf numFmtId="0" fontId="5" fillId="0" borderId="0" xfId="0" quotePrefix="1" applyFont="1"/>
    <xf numFmtId="0" fontId="9" fillId="0" borderId="0" xfId="0" applyFont="1"/>
    <xf numFmtId="0" fontId="8" fillId="0" borderId="0" xfId="0" applyFont="1"/>
    <xf numFmtId="0" fontId="6" fillId="2" borderId="0" xfId="0" applyFont="1" applyFill="1"/>
    <xf numFmtId="0" fontId="10" fillId="0" borderId="0" xfId="0" applyFont="1"/>
    <xf numFmtId="15" fontId="0" fillId="0" borderId="0" xfId="0" applyNumberFormat="1"/>
    <xf numFmtId="0" fontId="0" fillId="2" borderId="0" xfId="0" quotePrefix="1" applyFill="1"/>
    <xf numFmtId="0" fontId="0" fillId="0" borderId="0" xfId="0" applyFill="1"/>
    <xf numFmtId="0" fontId="5" fillId="2" borderId="0" xfId="0" applyFont="1" applyFill="1"/>
    <xf numFmtId="0" fontId="7" fillId="3" borderId="0" xfId="0" applyFont="1" applyFill="1"/>
    <xf numFmtId="0" fontId="11" fillId="0" borderId="0" xfId="0" quotePrefix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2" borderId="0" xfId="0" applyFont="1" applyFill="1"/>
    <xf numFmtId="0" fontId="16" fillId="2" borderId="0" xfId="0" applyFont="1" applyFill="1"/>
    <xf numFmtId="0" fontId="4" fillId="0" borderId="0" xfId="0" applyFont="1" applyFill="1"/>
    <xf numFmtId="0" fontId="5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19" fillId="4" borderId="0" xfId="4" applyFont="1" applyFill="1"/>
    <xf numFmtId="0" fontId="2" fillId="0" borderId="0" xfId="4"/>
    <xf numFmtId="0" fontId="18" fillId="0" borderId="0" xfId="4" applyFont="1"/>
    <xf numFmtId="0" fontId="20" fillId="0" borderId="0" xfId="4" applyFont="1"/>
    <xf numFmtId="14" fontId="2" fillId="0" borderId="0" xfId="4" applyNumberFormat="1"/>
    <xf numFmtId="3" fontId="2" fillId="0" borderId="0" xfId="4" applyNumberFormat="1"/>
    <xf numFmtId="4" fontId="2" fillId="0" borderId="0" xfId="4" applyNumberFormat="1"/>
    <xf numFmtId="10" fontId="2" fillId="0" borderId="0" xfId="4" applyNumberFormat="1"/>
    <xf numFmtId="0" fontId="7" fillId="5" borderId="0" xfId="0" applyFont="1" applyFill="1" applyBorder="1"/>
    <xf numFmtId="0" fontId="0" fillId="5" borderId="0" xfId="0" applyFill="1" applyBorder="1"/>
    <xf numFmtId="0" fontId="5" fillId="0" borderId="0" xfId="1" applyFont="1"/>
    <xf numFmtId="0" fontId="6" fillId="0" borderId="0" xfId="1"/>
    <xf numFmtId="3" fontId="6" fillId="0" borderId="0" xfId="1" applyNumberFormat="1"/>
    <xf numFmtId="0" fontId="9" fillId="0" borderId="0" xfId="1" applyFont="1"/>
    <xf numFmtId="0" fontId="7" fillId="2" borderId="0" xfId="1" applyFont="1" applyFill="1"/>
    <xf numFmtId="0" fontId="6" fillId="2" borderId="0" xfId="1" applyFill="1"/>
    <xf numFmtId="0" fontId="7" fillId="0" borderId="0" xfId="1" applyFont="1"/>
    <xf numFmtId="0" fontId="5" fillId="2" borderId="0" xfId="1" applyFont="1" applyFill="1"/>
    <xf numFmtId="0" fontId="4" fillId="2" borderId="0" xfId="1" applyFont="1" applyFill="1"/>
    <xf numFmtId="0" fontId="6" fillId="2" borderId="0" xfId="1" applyFont="1" applyFill="1"/>
    <xf numFmtId="0" fontId="6" fillId="0" borderId="0" xfId="1" applyFont="1"/>
    <xf numFmtId="0" fontId="11" fillId="2" borderId="0" xfId="1" applyFont="1" applyFill="1"/>
    <xf numFmtId="0" fontId="4" fillId="2" borderId="0" xfId="6" applyFont="1" applyFill="1"/>
    <xf numFmtId="0" fontId="6" fillId="2" borderId="0" xfId="6" applyFont="1" applyFill="1"/>
    <xf numFmtId="0" fontId="24" fillId="0" borderId="0" xfId="6"/>
    <xf numFmtId="0" fontId="25" fillId="0" borderId="0" xfId="6" applyFont="1" applyFill="1"/>
    <xf numFmtId="0" fontId="24" fillId="0" borderId="0" xfId="6" applyFill="1"/>
    <xf numFmtId="0" fontId="26" fillId="0" borderId="0" xfId="6" applyFont="1"/>
    <xf numFmtId="9" fontId="24" fillId="0" borderId="0" xfId="6" applyNumberFormat="1"/>
    <xf numFmtId="6" fontId="24" fillId="0" borderId="0" xfId="6" applyNumberFormat="1"/>
    <xf numFmtId="10" fontId="24" fillId="0" borderId="0" xfId="6" applyNumberFormat="1"/>
    <xf numFmtId="0" fontId="24" fillId="0" borderId="0" xfId="6" quotePrefix="1"/>
    <xf numFmtId="0" fontId="24" fillId="2" borderId="0" xfId="6" applyFill="1"/>
    <xf numFmtId="0" fontId="27" fillId="0" borderId="0" xfId="6" applyFont="1"/>
    <xf numFmtId="0" fontId="24" fillId="2" borderId="0" xfId="6" applyFont="1" applyFill="1"/>
    <xf numFmtId="0" fontId="26" fillId="2" borderId="0" xfId="6" applyFont="1" applyFill="1"/>
    <xf numFmtId="0" fontId="26" fillId="2" borderId="0" xfId="6" applyFont="1" applyFill="1" applyAlignment="1">
      <alignment horizontal="center" wrapText="1"/>
    </xf>
    <xf numFmtId="0" fontId="24" fillId="0" borderId="0" xfId="6" applyAlignment="1">
      <alignment horizontal="center" wrapText="1"/>
    </xf>
    <xf numFmtId="0" fontId="7" fillId="2" borderId="0" xfId="1" quotePrefix="1" applyFont="1" applyFill="1"/>
    <xf numFmtId="0" fontId="6" fillId="2" borderId="0" xfId="1" quotePrefix="1" applyFill="1"/>
    <xf numFmtId="0" fontId="9" fillId="2" borderId="0" xfId="1" quotePrefix="1" applyFont="1" applyFill="1" applyAlignment="1">
      <alignment horizontal="left"/>
    </xf>
    <xf numFmtId="0" fontId="9" fillId="2" borderId="0" xfId="1" applyFont="1" applyFill="1"/>
    <xf numFmtId="0" fontId="9" fillId="2" borderId="0" xfId="1" applyFont="1" applyFill="1" applyAlignment="1">
      <alignment horizontal="left"/>
    </xf>
    <xf numFmtId="0" fontId="6" fillId="6" borderId="0" xfId="1" applyFill="1"/>
    <xf numFmtId="0" fontId="6" fillId="7" borderId="0" xfId="1" applyFill="1"/>
    <xf numFmtId="0" fontId="6" fillId="0" borderId="0" xfId="1" quotePrefix="1"/>
    <xf numFmtId="0" fontId="4" fillId="3" borderId="0" xfId="1" applyFont="1" applyFill="1"/>
    <xf numFmtId="0" fontId="6" fillId="3" borderId="0" xfId="1" applyFill="1"/>
    <xf numFmtId="0" fontId="6" fillId="6" borderId="0" xfId="1" applyFont="1" applyFill="1"/>
    <xf numFmtId="0" fontId="6" fillId="6" borderId="0" xfId="1" quotePrefix="1" applyFill="1"/>
    <xf numFmtId="164" fontId="6" fillId="0" borderId="0" xfId="7" applyNumberForma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29" fillId="0" borderId="0" xfId="1" applyFont="1"/>
    <xf numFmtId="49" fontId="6" fillId="0" borderId="0" xfId="1" applyNumberFormat="1"/>
    <xf numFmtId="164" fontId="6" fillId="2" borderId="0" xfId="7" applyNumberFormat="1" applyFill="1"/>
    <xf numFmtId="49" fontId="6" fillId="2" borderId="0" xfId="1" applyNumberFormat="1" applyFill="1"/>
    <xf numFmtId="164" fontId="30" fillId="0" borderId="0" xfId="7" applyNumberFormat="1" applyFont="1"/>
    <xf numFmtId="49" fontId="6" fillId="0" borderId="0" xfId="1" applyNumberFormat="1" applyFill="1"/>
    <xf numFmtId="1" fontId="6" fillId="0" borderId="0" xfId="7" applyNumberFormat="1"/>
    <xf numFmtId="164" fontId="6" fillId="0" borderId="0" xfId="1" applyNumberFormat="1"/>
    <xf numFmtId="165" fontId="6" fillId="0" borderId="0" xfId="7" applyNumberFormat="1"/>
    <xf numFmtId="0" fontId="32" fillId="0" borderId="0" xfId="1" applyFont="1"/>
    <xf numFmtId="166" fontId="9" fillId="0" borderId="0" xfId="7" applyNumberFormat="1" applyFont="1"/>
    <xf numFmtId="2" fontId="6" fillId="0" borderId="0" xfId="7" applyNumberFormat="1"/>
  </cellXfs>
  <cellStyles count="8">
    <cellStyle name="Currency 2" xfId="7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_Book2" xfId="6"/>
  </cellStyles>
  <dxfs count="0"/>
  <tableStyles count="0" defaultTableStyle="TableStyleMedium9" defaultPivotStyle="PivotStyleLight16"/>
  <colors>
    <mruColors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Portfolio Possibilities Frontier</a:t>
            </a:r>
          </a:p>
        </c:rich>
      </c:tx>
      <c:layout>
        <c:manualLayout>
          <c:xMode val="edge"/>
          <c:yMode val="edge"/>
          <c:x val="0.36743215031315241"/>
          <c:y val="1.84615384615385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415448851774544"/>
          <c:y val="0.13230789108757676"/>
          <c:w val="0.76826722338204589"/>
          <c:h val="0.7107702986332626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'Portfolio Possibility Frontier'!$C$7:$C$27</c:f>
              <c:numCache>
                <c:formatCode>General</c:formatCode>
                <c:ptCount val="21"/>
                <c:pt idx="0">
                  <c:v>0.2</c:v>
                </c:pt>
                <c:pt idx="1">
                  <c:v>0.17691806012954134</c:v>
                </c:pt>
                <c:pt idx="2">
                  <c:v>0.15874507866387544</c:v>
                </c:pt>
                <c:pt idx="3">
                  <c:v>0.14730919862656236</c:v>
                </c:pt>
                <c:pt idx="4">
                  <c:v>0.14422205101855959</c:v>
                </c:pt>
                <c:pt idx="5">
                  <c:v>0.15000000000000008</c:v>
                </c:pt>
                <c:pt idx="6">
                  <c:v>0.16370705543744909</c:v>
                </c:pt>
                <c:pt idx="7">
                  <c:v>0.18357559750685837</c:v>
                </c:pt>
                <c:pt idx="8">
                  <c:v>0.20784609690826544</c:v>
                </c:pt>
                <c:pt idx="9">
                  <c:v>0.23515952032609716</c:v>
                </c:pt>
                <c:pt idx="10">
                  <c:v>0.26457513110645936</c:v>
                </c:pt>
                <c:pt idx="11">
                  <c:v>0.29546573405388338</c:v>
                </c:pt>
                <c:pt idx="12">
                  <c:v>0.32741411087489819</c:v>
                </c:pt>
                <c:pt idx="13">
                  <c:v>0.36013886210738238</c:v>
                </c:pt>
                <c:pt idx="14">
                  <c:v>0.39344631145812031</c:v>
                </c:pt>
                <c:pt idx="15">
                  <c:v>0.42720018726587677</c:v>
                </c:pt>
                <c:pt idx="16">
                  <c:v>0.46130250378683202</c:v>
                </c:pt>
                <c:pt idx="17">
                  <c:v>0.49568134925574936</c:v>
                </c:pt>
                <c:pt idx="18">
                  <c:v>0.53028294334251425</c:v>
                </c:pt>
                <c:pt idx="19">
                  <c:v>0.56506636778346686</c:v>
                </c:pt>
                <c:pt idx="20">
                  <c:v>0.6</c:v>
                </c:pt>
              </c:numCache>
            </c:numRef>
          </c:xVal>
          <c:yVal>
            <c:numRef>
              <c:f>'Portfolio Possibility Frontier'!$D$7:$D$27</c:f>
              <c:numCache>
                <c:formatCode>General</c:formatCode>
                <c:ptCount val="21"/>
                <c:pt idx="0">
                  <c:v>7.0000000000000007E-2</c:v>
                </c:pt>
                <c:pt idx="1">
                  <c:v>7.2000000000000008E-2</c:v>
                </c:pt>
                <c:pt idx="2">
                  <c:v>7.400000000000001E-2</c:v>
                </c:pt>
                <c:pt idx="3">
                  <c:v>7.6000000000000012E-2</c:v>
                </c:pt>
                <c:pt idx="4">
                  <c:v>7.8000000000000014E-2</c:v>
                </c:pt>
                <c:pt idx="5">
                  <c:v>8.0000000000000016E-2</c:v>
                </c:pt>
                <c:pt idx="6">
                  <c:v>8.2000000000000017E-2</c:v>
                </c:pt>
                <c:pt idx="7">
                  <c:v>8.4000000000000019E-2</c:v>
                </c:pt>
                <c:pt idx="8">
                  <c:v>8.6000000000000021E-2</c:v>
                </c:pt>
                <c:pt idx="9">
                  <c:v>8.8000000000000023E-2</c:v>
                </c:pt>
                <c:pt idx="10">
                  <c:v>9.0000000000000024E-2</c:v>
                </c:pt>
                <c:pt idx="11">
                  <c:v>9.2000000000000026E-2</c:v>
                </c:pt>
                <c:pt idx="12">
                  <c:v>9.4E-2</c:v>
                </c:pt>
                <c:pt idx="13">
                  <c:v>9.6000000000000016E-2</c:v>
                </c:pt>
                <c:pt idx="14">
                  <c:v>9.8000000000000018E-2</c:v>
                </c:pt>
                <c:pt idx="15">
                  <c:v>0.1</c:v>
                </c:pt>
                <c:pt idx="16">
                  <c:v>0.10200000000000002</c:v>
                </c:pt>
                <c:pt idx="17">
                  <c:v>0.10400000000000002</c:v>
                </c:pt>
                <c:pt idx="18">
                  <c:v>0.10600000000000002</c:v>
                </c:pt>
                <c:pt idx="19">
                  <c:v>0.10800000000000001</c:v>
                </c:pt>
                <c:pt idx="20">
                  <c:v>0.11</c:v>
                </c:pt>
              </c:numCache>
            </c:numRef>
          </c:yVal>
        </c:ser>
        <c:axId val="44094208"/>
        <c:axId val="44096896"/>
      </c:scatterChart>
      <c:valAx>
        <c:axId val="44094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Standard Deviation</a:t>
                </a:r>
              </a:p>
            </c:rich>
          </c:tx>
          <c:layout>
            <c:manualLayout>
              <c:xMode val="edge"/>
              <c:yMode val="edge"/>
              <c:x val="0.59916492693110646"/>
              <c:y val="0.898462830607712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96896"/>
        <c:crosses val="autoZero"/>
        <c:crossBetween val="midCat"/>
      </c:valAx>
      <c:valAx>
        <c:axId val="44096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Expected 
Return</a:t>
                </a:r>
              </a:p>
            </c:rich>
          </c:tx>
          <c:layout>
            <c:manualLayout>
              <c:xMode val="edge"/>
              <c:yMode val="edge"/>
              <c:x val="1.0438413361169102E-2"/>
              <c:y val="4.9230769230769231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942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Diversification and Risk</a:t>
            </a:r>
          </a:p>
        </c:rich>
      </c:tx>
      <c:layout>
        <c:manualLayout>
          <c:xMode val="edge"/>
          <c:yMode val="edge"/>
          <c:x val="0.31444759206798933"/>
          <c:y val="3.4482758620689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26345609065151"/>
          <c:y val="0.17241427693481989"/>
          <c:w val="0.76770538243626063"/>
          <c:h val="0.69540425030377551"/>
        </c:manualLayout>
      </c:layout>
      <c:lineChart>
        <c:grouping val="standard"/>
        <c:ser>
          <c:idx val="1"/>
          <c:order val="0"/>
          <c:val>
            <c:numRef>
              <c:f>'Diversification and Risk'!$B$16:$B$25</c:f>
            </c:numRef>
          </c:val>
        </c:ser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'Diversification and Risk'!$C$16:$C$25</c:f>
              <c:numCache>
                <c:formatCode>General</c:formatCode>
                <c:ptCount val="10"/>
                <c:pt idx="0">
                  <c:v>0.4</c:v>
                </c:pt>
                <c:pt idx="1">
                  <c:v>0.33466401061363027</c:v>
                </c:pt>
                <c:pt idx="2">
                  <c:v>0.30983866768962204</c:v>
                </c:pt>
                <c:pt idx="3">
                  <c:v>0.29664793948382656</c:v>
                </c:pt>
                <c:pt idx="4">
                  <c:v>0.28844410203711918</c:v>
                </c:pt>
                <c:pt idx="5">
                  <c:v>0.27129319932501073</c:v>
                </c:pt>
                <c:pt idx="6">
                  <c:v>0.26229754097208008</c:v>
                </c:pt>
                <c:pt idx="7">
                  <c:v>0.25922962793631443</c:v>
                </c:pt>
                <c:pt idx="8">
                  <c:v>0.25674890457409943</c:v>
                </c:pt>
                <c:pt idx="9">
                  <c:v>0.25487251715318388</c:v>
                </c:pt>
              </c:numCache>
            </c:numRef>
          </c:val>
        </c:ser>
        <c:marker val="1"/>
        <c:axId val="44420096"/>
        <c:axId val="44430848"/>
      </c:lineChart>
      <c:catAx>
        <c:axId val="44420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Securities</a:t>
                </a:r>
              </a:p>
            </c:rich>
          </c:tx>
          <c:layout>
            <c:manualLayout>
              <c:xMode val="edge"/>
              <c:yMode val="edge"/>
              <c:x val="0.40509915014164305"/>
              <c:y val="0.8965541376293481"/>
            </c:manualLayout>
          </c:layout>
          <c:spPr>
            <a:noFill/>
            <a:ln w="25400">
              <a:noFill/>
            </a:ln>
          </c:spPr>
        </c:title>
        <c:tickLblPos val="none"/>
        <c:spPr>
          <a:ln w="3175">
            <a:solidFill>
              <a:srgbClr val="000000"/>
            </a:solidFill>
            <a:prstDash val="solid"/>
          </a:ln>
        </c:spPr>
        <c:crossAx val="44430848"/>
        <c:crosses val="autoZero"/>
        <c:auto val="1"/>
        <c:lblAlgn val="ctr"/>
        <c:lblOffset val="100"/>
        <c:tickMarkSkip val="1"/>
      </c:catAx>
      <c:valAx>
        <c:axId val="44430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Portfolio Standard Deviation</a:t>
                </a:r>
              </a:p>
            </c:rich>
          </c:tx>
          <c:layout>
            <c:manualLayout>
              <c:xMode val="edge"/>
              <c:yMode val="edge"/>
              <c:x val="4.5325779036827316E-2"/>
              <c:y val="0.295977916553534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20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</xdr:row>
      <xdr:rowOff>57150</xdr:rowOff>
    </xdr:from>
    <xdr:to>
      <xdr:col>12</xdr:col>
      <xdr:colOff>333375</xdr:colOff>
      <xdr:row>22</xdr:row>
      <xdr:rowOff>38100</xdr:rowOff>
    </xdr:to>
    <xdr:graphicFrame macro="">
      <xdr:nvGraphicFramePr>
        <xdr:cNvPr id="51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8</xdr:row>
      <xdr:rowOff>9525</xdr:rowOff>
    </xdr:from>
    <xdr:to>
      <xdr:col>11</xdr:col>
      <xdr:colOff>600075</xdr:colOff>
      <xdr:row>28</xdr:row>
      <xdr:rowOff>85725</xdr:rowOff>
    </xdr:to>
    <xdr:graphicFrame macro="">
      <xdr:nvGraphicFramePr>
        <xdr:cNvPr id="61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301LectureSpreadshee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Car Loan Example"/>
      <sheetName val="Saving for a House"/>
      <sheetName val="FVA Due"/>
      <sheetName val="Bond Valuation"/>
      <sheetName val="Lottery PVA"/>
      <sheetName val="Mortgage Amortization"/>
      <sheetName val="Sally Mae PV"/>
      <sheetName val="PV Growing Perpetuity"/>
      <sheetName val="Geometric Returns"/>
      <sheetName val="IRR"/>
      <sheetName val="Yield To Maturity"/>
      <sheetName val="Expected Return and Variance"/>
      <sheetName val="Covariance"/>
      <sheetName val="Standard Deviation of Returns"/>
      <sheetName val="Covariance of Returns"/>
      <sheetName val="Portfolio Possibility Frontier"/>
      <sheetName val="Be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G10">
            <v>1.2060595701261263E-2</v>
          </cell>
        </row>
        <row r="11">
          <cell r="G11">
            <v>0.10982074349257186</v>
          </cell>
        </row>
        <row r="38">
          <cell r="G38">
            <v>6.3410123637947832E-2</v>
          </cell>
        </row>
        <row r="39">
          <cell r="G39">
            <v>0.25181366848911885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workbookViewId="0">
      <selection activeCell="A12" sqref="A12"/>
    </sheetView>
  </sheetViews>
  <sheetFormatPr defaultRowHeight="12.75"/>
  <sheetData>
    <row r="1" spans="1:16" ht="18">
      <c r="A1" s="34" t="s">
        <v>26</v>
      </c>
      <c r="B1" s="34"/>
      <c r="C1" s="34"/>
      <c r="D1" s="34"/>
      <c r="E1" s="34"/>
      <c r="F1" s="34"/>
      <c r="G1" s="34"/>
      <c r="H1" s="35"/>
      <c r="I1" s="35"/>
      <c r="J1" s="35"/>
      <c r="K1" s="35"/>
      <c r="L1" s="35"/>
      <c r="M1" s="35"/>
      <c r="N1" s="35"/>
      <c r="O1" s="35"/>
      <c r="P1" s="35"/>
    </row>
    <row r="2" spans="1:16" ht="18">
      <c r="A2" s="34" t="s">
        <v>27</v>
      </c>
      <c r="B2" s="34"/>
      <c r="C2" s="34"/>
      <c r="D2" s="34"/>
      <c r="E2" s="34"/>
      <c r="F2" s="34"/>
      <c r="G2" s="34"/>
      <c r="H2" s="35"/>
      <c r="I2" s="35"/>
      <c r="J2" s="35"/>
      <c r="K2" s="35"/>
      <c r="L2" s="35"/>
      <c r="M2" s="35"/>
      <c r="N2" s="35"/>
      <c r="O2" s="35"/>
      <c r="P2" s="35"/>
    </row>
    <row r="3" spans="1:16" ht="18">
      <c r="A3" s="34" t="s">
        <v>28</v>
      </c>
      <c r="B3" s="34"/>
      <c r="C3" s="34"/>
      <c r="D3" s="34"/>
      <c r="E3" s="34"/>
      <c r="F3" s="34"/>
      <c r="G3" s="34"/>
      <c r="H3" s="35"/>
      <c r="I3" s="35"/>
      <c r="J3" s="35"/>
      <c r="K3" s="35"/>
      <c r="L3" s="35"/>
      <c r="M3" s="35"/>
      <c r="N3" s="35"/>
      <c r="O3" s="35"/>
      <c r="P3" s="35"/>
    </row>
    <row r="4" spans="1:16" ht="18">
      <c r="A4" s="34" t="s">
        <v>29</v>
      </c>
      <c r="B4" s="34"/>
      <c r="C4" s="34"/>
      <c r="D4" s="34"/>
      <c r="E4" s="34"/>
      <c r="F4" s="34"/>
      <c r="G4" s="34"/>
      <c r="H4" s="35"/>
      <c r="I4" s="35"/>
      <c r="J4" s="35"/>
      <c r="K4" s="35"/>
      <c r="L4" s="35"/>
      <c r="M4" s="35"/>
      <c r="N4" s="35"/>
      <c r="O4" s="35"/>
      <c r="P4" s="35"/>
    </row>
    <row r="5" spans="1:16" ht="18">
      <c r="A5" s="34" t="s">
        <v>30</v>
      </c>
      <c r="B5" s="34"/>
      <c r="C5" s="34"/>
      <c r="D5" s="34"/>
      <c r="E5" s="34"/>
      <c r="F5" s="34"/>
      <c r="G5" s="34"/>
      <c r="H5" s="35"/>
      <c r="I5" s="35"/>
      <c r="J5" s="35"/>
      <c r="K5" s="35"/>
      <c r="L5" s="35"/>
      <c r="M5" s="35"/>
      <c r="N5" s="35"/>
      <c r="O5" s="35"/>
      <c r="P5" s="35"/>
    </row>
    <row r="6" spans="1:16" ht="18">
      <c r="A6" s="34" t="s">
        <v>180</v>
      </c>
      <c r="B6" s="34"/>
      <c r="C6" s="34"/>
      <c r="D6" s="34"/>
      <c r="E6" s="34"/>
      <c r="F6" s="34"/>
      <c r="G6" s="34"/>
      <c r="H6" s="35"/>
      <c r="I6" s="35"/>
      <c r="J6" s="35"/>
      <c r="K6" s="35"/>
      <c r="L6" s="35"/>
      <c r="M6" s="35"/>
      <c r="N6" s="35"/>
      <c r="O6" s="35"/>
      <c r="P6" s="35"/>
    </row>
    <row r="7" spans="1:16" ht="18">
      <c r="A7" s="34" t="s">
        <v>181</v>
      </c>
      <c r="B7" s="34"/>
      <c r="C7" s="34"/>
      <c r="D7" s="34"/>
      <c r="E7" s="34"/>
      <c r="F7" s="34"/>
      <c r="G7" s="34"/>
      <c r="H7" s="35"/>
      <c r="I7" s="35"/>
      <c r="J7" s="35"/>
      <c r="K7" s="35"/>
      <c r="L7" s="35"/>
      <c r="M7" s="35"/>
      <c r="N7" s="35"/>
      <c r="O7" s="35"/>
      <c r="P7" s="35"/>
    </row>
    <row r="8" spans="1:16" ht="18">
      <c r="A8" s="34" t="s">
        <v>182</v>
      </c>
      <c r="B8" s="34"/>
      <c r="C8" s="34"/>
      <c r="D8" s="34"/>
      <c r="E8" s="34"/>
      <c r="F8" s="34"/>
      <c r="G8" s="34"/>
      <c r="H8" s="35"/>
      <c r="I8" s="35"/>
      <c r="J8" s="35"/>
      <c r="K8" s="35"/>
      <c r="L8" s="35"/>
      <c r="M8" s="35"/>
      <c r="N8" s="35"/>
      <c r="O8" s="35"/>
      <c r="P8" s="35"/>
    </row>
    <row r="9" spans="1:16" ht="18">
      <c r="A9" s="34" t="s">
        <v>183</v>
      </c>
      <c r="B9" s="34"/>
      <c r="C9" s="34"/>
      <c r="D9" s="34"/>
      <c r="E9" s="34"/>
      <c r="F9" s="34"/>
      <c r="G9" s="34"/>
      <c r="H9" s="35"/>
      <c r="I9" s="35"/>
      <c r="J9" s="35"/>
      <c r="K9" s="35"/>
      <c r="L9" s="35"/>
      <c r="M9" s="35"/>
      <c r="N9" s="35"/>
      <c r="O9" s="35"/>
      <c r="P9" s="35"/>
    </row>
    <row r="10" spans="1:16" ht="18">
      <c r="A10" s="34" t="s">
        <v>184</v>
      </c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5"/>
    </row>
    <row r="11" spans="1:16" ht="18">
      <c r="A11" s="34" t="s">
        <v>185</v>
      </c>
      <c r="B11" s="34"/>
      <c r="C11" s="34"/>
      <c r="D11" s="34"/>
      <c r="E11" s="34"/>
      <c r="F11" s="34"/>
      <c r="G11" s="34"/>
      <c r="H11" s="35"/>
      <c r="I11" s="35"/>
      <c r="J11" s="35"/>
      <c r="K11" s="35"/>
      <c r="L11" s="35"/>
      <c r="M11" s="35"/>
      <c r="N11" s="35"/>
      <c r="O11" s="35"/>
      <c r="P11" s="35"/>
    </row>
    <row r="12" spans="1:16" ht="18">
      <c r="A12" s="34"/>
      <c r="B12" s="34"/>
      <c r="C12" s="34"/>
      <c r="D12" s="34"/>
      <c r="E12" s="34"/>
      <c r="F12" s="34"/>
      <c r="G12" s="34"/>
      <c r="H12" s="35"/>
      <c r="I12" s="35"/>
      <c r="J12" s="35"/>
      <c r="K12" s="35"/>
      <c r="L12" s="35"/>
      <c r="M12" s="35"/>
      <c r="N12" s="35"/>
      <c r="O12" s="35"/>
      <c r="P12" s="35"/>
    </row>
    <row r="13" spans="1:16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1:16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6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1:16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16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16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16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6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1:16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1:16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</row>
    <row r="34" spans="1:16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1:16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B6" sqref="B6"/>
    </sheetView>
  </sheetViews>
  <sheetFormatPr defaultRowHeight="12.75"/>
  <cols>
    <col min="1" max="1" width="9.140625" style="37"/>
    <col min="2" max="2" width="14.42578125" style="37" customWidth="1"/>
    <col min="3" max="3" width="5.42578125" style="37" customWidth="1"/>
    <col min="4" max="257" width="9.140625" style="37"/>
    <col min="258" max="258" width="14.42578125" style="37" customWidth="1"/>
    <col min="259" max="259" width="5.42578125" style="37" customWidth="1"/>
    <col min="260" max="513" width="9.140625" style="37"/>
    <col min="514" max="514" width="14.42578125" style="37" customWidth="1"/>
    <col min="515" max="515" width="5.42578125" style="37" customWidth="1"/>
    <col min="516" max="769" width="9.140625" style="37"/>
    <col min="770" max="770" width="14.42578125" style="37" customWidth="1"/>
    <col min="771" max="771" width="5.42578125" style="37" customWidth="1"/>
    <col min="772" max="1025" width="9.140625" style="37"/>
    <col min="1026" max="1026" width="14.42578125" style="37" customWidth="1"/>
    <col min="1027" max="1027" width="5.42578125" style="37" customWidth="1"/>
    <col min="1028" max="1281" width="9.140625" style="37"/>
    <col min="1282" max="1282" width="14.42578125" style="37" customWidth="1"/>
    <col min="1283" max="1283" width="5.42578125" style="37" customWidth="1"/>
    <col min="1284" max="1537" width="9.140625" style="37"/>
    <col min="1538" max="1538" width="14.42578125" style="37" customWidth="1"/>
    <col min="1539" max="1539" width="5.42578125" style="37" customWidth="1"/>
    <col min="1540" max="1793" width="9.140625" style="37"/>
    <col min="1794" max="1794" width="14.42578125" style="37" customWidth="1"/>
    <col min="1795" max="1795" width="5.42578125" style="37" customWidth="1"/>
    <col min="1796" max="2049" width="9.140625" style="37"/>
    <col min="2050" max="2050" width="14.42578125" style="37" customWidth="1"/>
    <col min="2051" max="2051" width="5.42578125" style="37" customWidth="1"/>
    <col min="2052" max="2305" width="9.140625" style="37"/>
    <col min="2306" max="2306" width="14.42578125" style="37" customWidth="1"/>
    <col min="2307" max="2307" width="5.42578125" style="37" customWidth="1"/>
    <col min="2308" max="2561" width="9.140625" style="37"/>
    <col min="2562" max="2562" width="14.42578125" style="37" customWidth="1"/>
    <col min="2563" max="2563" width="5.42578125" style="37" customWidth="1"/>
    <col min="2564" max="2817" width="9.140625" style="37"/>
    <col min="2818" max="2818" width="14.42578125" style="37" customWidth="1"/>
    <col min="2819" max="2819" width="5.42578125" style="37" customWidth="1"/>
    <col min="2820" max="3073" width="9.140625" style="37"/>
    <col min="3074" max="3074" width="14.42578125" style="37" customWidth="1"/>
    <col min="3075" max="3075" width="5.42578125" style="37" customWidth="1"/>
    <col min="3076" max="3329" width="9.140625" style="37"/>
    <col min="3330" max="3330" width="14.42578125" style="37" customWidth="1"/>
    <col min="3331" max="3331" width="5.42578125" style="37" customWidth="1"/>
    <col min="3332" max="3585" width="9.140625" style="37"/>
    <col min="3586" max="3586" width="14.42578125" style="37" customWidth="1"/>
    <col min="3587" max="3587" width="5.42578125" style="37" customWidth="1"/>
    <col min="3588" max="3841" width="9.140625" style="37"/>
    <col min="3842" max="3842" width="14.42578125" style="37" customWidth="1"/>
    <col min="3843" max="3843" width="5.42578125" style="37" customWidth="1"/>
    <col min="3844" max="4097" width="9.140625" style="37"/>
    <col min="4098" max="4098" width="14.42578125" style="37" customWidth="1"/>
    <col min="4099" max="4099" width="5.42578125" style="37" customWidth="1"/>
    <col min="4100" max="4353" width="9.140625" style="37"/>
    <col min="4354" max="4354" width="14.42578125" style="37" customWidth="1"/>
    <col min="4355" max="4355" width="5.42578125" style="37" customWidth="1"/>
    <col min="4356" max="4609" width="9.140625" style="37"/>
    <col min="4610" max="4610" width="14.42578125" style="37" customWidth="1"/>
    <col min="4611" max="4611" width="5.42578125" style="37" customWidth="1"/>
    <col min="4612" max="4865" width="9.140625" style="37"/>
    <col min="4866" max="4866" width="14.42578125" style="37" customWidth="1"/>
    <col min="4867" max="4867" width="5.42578125" style="37" customWidth="1"/>
    <col min="4868" max="5121" width="9.140625" style="37"/>
    <col min="5122" max="5122" width="14.42578125" style="37" customWidth="1"/>
    <col min="5123" max="5123" width="5.42578125" style="37" customWidth="1"/>
    <col min="5124" max="5377" width="9.140625" style="37"/>
    <col min="5378" max="5378" width="14.42578125" style="37" customWidth="1"/>
    <col min="5379" max="5379" width="5.42578125" style="37" customWidth="1"/>
    <col min="5380" max="5633" width="9.140625" style="37"/>
    <col min="5634" max="5634" width="14.42578125" style="37" customWidth="1"/>
    <col min="5635" max="5635" width="5.42578125" style="37" customWidth="1"/>
    <col min="5636" max="5889" width="9.140625" style="37"/>
    <col min="5890" max="5890" width="14.42578125" style="37" customWidth="1"/>
    <col min="5891" max="5891" width="5.42578125" style="37" customWidth="1"/>
    <col min="5892" max="6145" width="9.140625" style="37"/>
    <col min="6146" max="6146" width="14.42578125" style="37" customWidth="1"/>
    <col min="6147" max="6147" width="5.42578125" style="37" customWidth="1"/>
    <col min="6148" max="6401" width="9.140625" style="37"/>
    <col min="6402" max="6402" width="14.42578125" style="37" customWidth="1"/>
    <col min="6403" max="6403" width="5.42578125" style="37" customWidth="1"/>
    <col min="6404" max="6657" width="9.140625" style="37"/>
    <col min="6658" max="6658" width="14.42578125" style="37" customWidth="1"/>
    <col min="6659" max="6659" width="5.42578125" style="37" customWidth="1"/>
    <col min="6660" max="6913" width="9.140625" style="37"/>
    <col min="6914" max="6914" width="14.42578125" style="37" customWidth="1"/>
    <col min="6915" max="6915" width="5.42578125" style="37" customWidth="1"/>
    <col min="6916" max="7169" width="9.140625" style="37"/>
    <col min="7170" max="7170" width="14.42578125" style="37" customWidth="1"/>
    <col min="7171" max="7171" width="5.42578125" style="37" customWidth="1"/>
    <col min="7172" max="7425" width="9.140625" style="37"/>
    <col min="7426" max="7426" width="14.42578125" style="37" customWidth="1"/>
    <col min="7427" max="7427" width="5.42578125" style="37" customWidth="1"/>
    <col min="7428" max="7681" width="9.140625" style="37"/>
    <col min="7682" max="7682" width="14.42578125" style="37" customWidth="1"/>
    <col min="7683" max="7683" width="5.42578125" style="37" customWidth="1"/>
    <col min="7684" max="7937" width="9.140625" style="37"/>
    <col min="7938" max="7938" width="14.42578125" style="37" customWidth="1"/>
    <col min="7939" max="7939" width="5.42578125" style="37" customWidth="1"/>
    <col min="7940" max="8193" width="9.140625" style="37"/>
    <col min="8194" max="8194" width="14.42578125" style="37" customWidth="1"/>
    <col min="8195" max="8195" width="5.42578125" style="37" customWidth="1"/>
    <col min="8196" max="8449" width="9.140625" style="37"/>
    <col min="8450" max="8450" width="14.42578125" style="37" customWidth="1"/>
    <col min="8451" max="8451" width="5.42578125" style="37" customWidth="1"/>
    <col min="8452" max="8705" width="9.140625" style="37"/>
    <col min="8706" max="8706" width="14.42578125" style="37" customWidth="1"/>
    <col min="8707" max="8707" width="5.42578125" style="37" customWidth="1"/>
    <col min="8708" max="8961" width="9.140625" style="37"/>
    <col min="8962" max="8962" width="14.42578125" style="37" customWidth="1"/>
    <col min="8963" max="8963" width="5.42578125" style="37" customWidth="1"/>
    <col min="8964" max="9217" width="9.140625" style="37"/>
    <col min="9218" max="9218" width="14.42578125" style="37" customWidth="1"/>
    <col min="9219" max="9219" width="5.42578125" style="37" customWidth="1"/>
    <col min="9220" max="9473" width="9.140625" style="37"/>
    <col min="9474" max="9474" width="14.42578125" style="37" customWidth="1"/>
    <col min="9475" max="9475" width="5.42578125" style="37" customWidth="1"/>
    <col min="9476" max="9729" width="9.140625" style="37"/>
    <col min="9730" max="9730" width="14.42578125" style="37" customWidth="1"/>
    <col min="9731" max="9731" width="5.42578125" style="37" customWidth="1"/>
    <col min="9732" max="9985" width="9.140625" style="37"/>
    <col min="9986" max="9986" width="14.42578125" style="37" customWidth="1"/>
    <col min="9987" max="9987" width="5.42578125" style="37" customWidth="1"/>
    <col min="9988" max="10241" width="9.140625" style="37"/>
    <col min="10242" max="10242" width="14.42578125" style="37" customWidth="1"/>
    <col min="10243" max="10243" width="5.42578125" style="37" customWidth="1"/>
    <col min="10244" max="10497" width="9.140625" style="37"/>
    <col min="10498" max="10498" width="14.42578125" style="37" customWidth="1"/>
    <col min="10499" max="10499" width="5.42578125" style="37" customWidth="1"/>
    <col min="10500" max="10753" width="9.140625" style="37"/>
    <col min="10754" max="10754" width="14.42578125" style="37" customWidth="1"/>
    <col min="10755" max="10755" width="5.42578125" style="37" customWidth="1"/>
    <col min="10756" max="11009" width="9.140625" style="37"/>
    <col min="11010" max="11010" width="14.42578125" style="37" customWidth="1"/>
    <col min="11011" max="11011" width="5.42578125" style="37" customWidth="1"/>
    <col min="11012" max="11265" width="9.140625" style="37"/>
    <col min="11266" max="11266" width="14.42578125" style="37" customWidth="1"/>
    <col min="11267" max="11267" width="5.42578125" style="37" customWidth="1"/>
    <col min="11268" max="11521" width="9.140625" style="37"/>
    <col min="11522" max="11522" width="14.42578125" style="37" customWidth="1"/>
    <col min="11523" max="11523" width="5.42578125" style="37" customWidth="1"/>
    <col min="11524" max="11777" width="9.140625" style="37"/>
    <col min="11778" max="11778" width="14.42578125" style="37" customWidth="1"/>
    <col min="11779" max="11779" width="5.42578125" style="37" customWidth="1"/>
    <col min="11780" max="12033" width="9.140625" style="37"/>
    <col min="12034" max="12034" width="14.42578125" style="37" customWidth="1"/>
    <col min="12035" max="12035" width="5.42578125" style="37" customWidth="1"/>
    <col min="12036" max="12289" width="9.140625" style="37"/>
    <col min="12290" max="12290" width="14.42578125" style="37" customWidth="1"/>
    <col min="12291" max="12291" width="5.42578125" style="37" customWidth="1"/>
    <col min="12292" max="12545" width="9.140625" style="37"/>
    <col min="12546" max="12546" width="14.42578125" style="37" customWidth="1"/>
    <col min="12547" max="12547" width="5.42578125" style="37" customWidth="1"/>
    <col min="12548" max="12801" width="9.140625" style="37"/>
    <col min="12802" max="12802" width="14.42578125" style="37" customWidth="1"/>
    <col min="12803" max="12803" width="5.42578125" style="37" customWidth="1"/>
    <col min="12804" max="13057" width="9.140625" style="37"/>
    <col min="13058" max="13058" width="14.42578125" style="37" customWidth="1"/>
    <col min="13059" max="13059" width="5.42578125" style="37" customWidth="1"/>
    <col min="13060" max="13313" width="9.140625" style="37"/>
    <col min="13314" max="13314" width="14.42578125" style="37" customWidth="1"/>
    <col min="13315" max="13315" width="5.42578125" style="37" customWidth="1"/>
    <col min="13316" max="13569" width="9.140625" style="37"/>
    <col min="13570" max="13570" width="14.42578125" style="37" customWidth="1"/>
    <col min="13571" max="13571" width="5.42578125" style="37" customWidth="1"/>
    <col min="13572" max="13825" width="9.140625" style="37"/>
    <col min="13826" max="13826" width="14.42578125" style="37" customWidth="1"/>
    <col min="13827" max="13827" width="5.42578125" style="37" customWidth="1"/>
    <col min="13828" max="14081" width="9.140625" style="37"/>
    <col min="14082" max="14082" width="14.42578125" style="37" customWidth="1"/>
    <col min="14083" max="14083" width="5.42578125" style="37" customWidth="1"/>
    <col min="14084" max="14337" width="9.140625" style="37"/>
    <col min="14338" max="14338" width="14.42578125" style="37" customWidth="1"/>
    <col min="14339" max="14339" width="5.42578125" style="37" customWidth="1"/>
    <col min="14340" max="14593" width="9.140625" style="37"/>
    <col min="14594" max="14594" width="14.42578125" style="37" customWidth="1"/>
    <col min="14595" max="14595" width="5.42578125" style="37" customWidth="1"/>
    <col min="14596" max="14849" width="9.140625" style="37"/>
    <col min="14850" max="14850" width="14.42578125" style="37" customWidth="1"/>
    <col min="14851" max="14851" width="5.42578125" style="37" customWidth="1"/>
    <col min="14852" max="15105" width="9.140625" style="37"/>
    <col min="15106" max="15106" width="14.42578125" style="37" customWidth="1"/>
    <col min="15107" max="15107" width="5.42578125" style="37" customWidth="1"/>
    <col min="15108" max="15361" width="9.140625" style="37"/>
    <col min="15362" max="15362" width="14.42578125" style="37" customWidth="1"/>
    <col min="15363" max="15363" width="5.42578125" style="37" customWidth="1"/>
    <col min="15364" max="15617" width="9.140625" style="37"/>
    <col min="15618" max="15618" width="14.42578125" style="37" customWidth="1"/>
    <col min="15619" max="15619" width="5.42578125" style="37" customWidth="1"/>
    <col min="15620" max="15873" width="9.140625" style="37"/>
    <col min="15874" max="15874" width="14.42578125" style="37" customWidth="1"/>
    <col min="15875" max="15875" width="5.42578125" style="37" customWidth="1"/>
    <col min="15876" max="16129" width="9.140625" style="37"/>
    <col min="16130" max="16130" width="14.42578125" style="37" customWidth="1"/>
    <col min="16131" max="16131" width="5.42578125" style="37" customWidth="1"/>
    <col min="16132" max="16384" width="9.140625" style="37"/>
  </cols>
  <sheetData>
    <row r="1" spans="1:5" ht="18">
      <c r="A1" s="42" t="s">
        <v>264</v>
      </c>
    </row>
    <row r="3" spans="1:5">
      <c r="A3" s="41" t="s">
        <v>248</v>
      </c>
      <c r="B3" s="37">
        <v>8000</v>
      </c>
      <c r="C3" s="41">
        <v>1</v>
      </c>
      <c r="D3" s="41">
        <f>B$3*(1+B$4)^(B$5+1-C3)</f>
        <v>34575.539001205303</v>
      </c>
      <c r="E3" s="41">
        <f>D3</f>
        <v>34575.539001205303</v>
      </c>
    </row>
    <row r="4" spans="1:5">
      <c r="A4" s="41" t="s">
        <v>249</v>
      </c>
      <c r="B4" s="37">
        <v>0.05</v>
      </c>
      <c r="C4" s="41">
        <f>C3+1</f>
        <v>2</v>
      </c>
      <c r="D4" s="41">
        <f t="shared" ref="D4:D32" si="0">B$3*(1+B$4)^(B$5+1-C4)</f>
        <v>32929.084763052677</v>
      </c>
      <c r="E4" s="41">
        <f>E3+D4</f>
        <v>67504.62376425798</v>
      </c>
    </row>
    <row r="5" spans="1:5">
      <c r="A5" s="41" t="s">
        <v>2</v>
      </c>
      <c r="B5" s="37">
        <v>30</v>
      </c>
      <c r="C5" s="41">
        <f t="shared" ref="C5:C32" si="1">C4+1</f>
        <v>3</v>
      </c>
      <c r="D5" s="41">
        <f t="shared" si="0"/>
        <v>31361.033107669213</v>
      </c>
      <c r="E5" s="41">
        <f t="shared" ref="E5:E32" si="2">E4+D5</f>
        <v>98865.656871927189</v>
      </c>
    </row>
    <row r="6" spans="1:5">
      <c r="A6" s="41"/>
      <c r="C6" s="41">
        <f t="shared" si="1"/>
        <v>4</v>
      </c>
      <c r="D6" s="41">
        <f t="shared" si="0"/>
        <v>29867.650578732588</v>
      </c>
      <c r="E6" s="41">
        <f t="shared" si="2"/>
        <v>128733.30745065978</v>
      </c>
    </row>
    <row r="7" spans="1:5">
      <c r="A7" s="41" t="s">
        <v>251</v>
      </c>
      <c r="B7" s="39">
        <f>E32</f>
        <v>558086.31902531127</v>
      </c>
      <c r="C7" s="41">
        <f t="shared" si="1"/>
        <v>5</v>
      </c>
      <c r="D7" s="41">
        <f t="shared" si="0"/>
        <v>28445.381503554843</v>
      </c>
      <c r="E7" s="41">
        <f t="shared" si="2"/>
        <v>157178.68895421462</v>
      </c>
    </row>
    <row r="8" spans="1:5">
      <c r="A8" s="41" t="s">
        <v>251</v>
      </c>
      <c r="B8" s="39">
        <f>B3*((1+B4)^(B5+1)-(1+B4))/B4</f>
        <v>558086.31902531162</v>
      </c>
      <c r="C8" s="41">
        <f t="shared" si="1"/>
        <v>6</v>
      </c>
      <c r="D8" s="41">
        <f t="shared" si="0"/>
        <v>27090.839527195087</v>
      </c>
      <c r="E8" s="41">
        <f t="shared" si="2"/>
        <v>184269.52848140971</v>
      </c>
    </row>
    <row r="9" spans="1:5">
      <c r="A9" s="41"/>
      <c r="C9" s="41">
        <f t="shared" si="1"/>
        <v>7</v>
      </c>
      <c r="D9" s="41">
        <f t="shared" si="0"/>
        <v>25800.799549709605</v>
      </c>
      <c r="E9" s="41">
        <f t="shared" si="2"/>
        <v>210070.32803111931</v>
      </c>
    </row>
    <row r="10" spans="1:5">
      <c r="A10" s="41" t="s">
        <v>265</v>
      </c>
      <c r="B10" s="41"/>
      <c r="C10" s="41">
        <f t="shared" si="1"/>
        <v>8</v>
      </c>
      <c r="D10" s="41">
        <f t="shared" si="0"/>
        <v>24572.190047342483</v>
      </c>
      <c r="E10" s="41">
        <f t="shared" si="2"/>
        <v>234642.51807846178</v>
      </c>
    </row>
    <row r="11" spans="1:5">
      <c r="A11" s="41" t="s">
        <v>253</v>
      </c>
      <c r="B11" s="41"/>
      <c r="C11" s="41">
        <f t="shared" si="1"/>
        <v>9</v>
      </c>
      <c r="D11" s="41">
        <f t="shared" si="0"/>
        <v>23402.085759373789</v>
      </c>
      <c r="E11" s="41">
        <f t="shared" si="2"/>
        <v>258044.60383783557</v>
      </c>
    </row>
    <row r="12" spans="1:5">
      <c r="A12" s="41" t="s">
        <v>254</v>
      </c>
      <c r="B12" s="41"/>
      <c r="C12" s="41">
        <f t="shared" si="1"/>
        <v>10</v>
      </c>
      <c r="D12" s="41">
        <f t="shared" si="0"/>
        <v>22287.700723213136</v>
      </c>
      <c r="E12" s="41">
        <f t="shared" si="2"/>
        <v>280332.30456104869</v>
      </c>
    </row>
    <row r="13" spans="1:5">
      <c r="A13" s="41" t="s">
        <v>266</v>
      </c>
      <c r="B13" s="41"/>
      <c r="C13" s="41">
        <f t="shared" si="1"/>
        <v>11</v>
      </c>
      <c r="D13" s="41">
        <f t="shared" si="0"/>
        <v>21226.381641155367</v>
      </c>
      <c r="E13" s="41">
        <f t="shared" si="2"/>
        <v>301558.68620220403</v>
      </c>
    </row>
    <row r="14" spans="1:5">
      <c r="A14" s="41"/>
      <c r="B14" s="41"/>
      <c r="C14" s="41">
        <f t="shared" si="1"/>
        <v>12</v>
      </c>
      <c r="D14" s="41">
        <f t="shared" si="0"/>
        <v>20215.601563005112</v>
      </c>
      <c r="E14" s="41">
        <f t="shared" si="2"/>
        <v>321774.28776520916</v>
      </c>
    </row>
    <row r="15" spans="1:5">
      <c r="A15" s="41" t="s">
        <v>256</v>
      </c>
      <c r="B15" s="41"/>
      <c r="C15" s="41">
        <f t="shared" si="1"/>
        <v>13</v>
      </c>
      <c r="D15" s="41">
        <f t="shared" si="0"/>
        <v>19252.953869528679</v>
      </c>
      <c r="E15" s="41">
        <f t="shared" si="2"/>
        <v>341027.24163473782</v>
      </c>
    </row>
    <row r="16" spans="1:5">
      <c r="A16" s="41" t="s">
        <v>257</v>
      </c>
      <c r="B16" s="41"/>
      <c r="C16" s="41">
        <f t="shared" si="1"/>
        <v>14</v>
      </c>
      <c r="D16" s="41">
        <f t="shared" si="0"/>
        <v>18336.146542408263</v>
      </c>
      <c r="E16" s="41">
        <f t="shared" si="2"/>
        <v>359363.38817714609</v>
      </c>
    </row>
    <row r="17" spans="1:5">
      <c r="A17" s="41" t="s">
        <v>258</v>
      </c>
      <c r="B17" s="41"/>
      <c r="C17" s="41">
        <f t="shared" si="1"/>
        <v>15</v>
      </c>
      <c r="D17" s="41">
        <f t="shared" si="0"/>
        <v>17462.996707055489</v>
      </c>
      <c r="E17" s="41">
        <f t="shared" si="2"/>
        <v>376826.38488420157</v>
      </c>
    </row>
    <row r="18" spans="1:5">
      <c r="A18" s="41" t="s">
        <v>259</v>
      </c>
      <c r="B18" s="41"/>
      <c r="C18" s="41">
        <f t="shared" si="1"/>
        <v>16</v>
      </c>
      <c r="D18" s="41">
        <f t="shared" si="0"/>
        <v>16631.425435290945</v>
      </c>
      <c r="E18" s="41">
        <f t="shared" si="2"/>
        <v>393457.81031949254</v>
      </c>
    </row>
    <row r="19" spans="1:5">
      <c r="A19" s="41" t="s">
        <v>267</v>
      </c>
      <c r="B19" s="41"/>
      <c r="C19" s="41">
        <f t="shared" si="1"/>
        <v>17</v>
      </c>
      <c r="D19" s="41">
        <f t="shared" si="0"/>
        <v>15839.452795515179</v>
      </c>
      <c r="E19" s="41">
        <f t="shared" si="2"/>
        <v>409297.26311500772</v>
      </c>
    </row>
    <row r="20" spans="1:5">
      <c r="A20" s="41" t="s">
        <v>261</v>
      </c>
      <c r="B20" s="41"/>
      <c r="C20" s="41">
        <f t="shared" si="1"/>
        <v>18</v>
      </c>
      <c r="D20" s="41">
        <f t="shared" si="0"/>
        <v>15085.193138585888</v>
      </c>
      <c r="E20" s="41">
        <f t="shared" si="2"/>
        <v>424382.45625359361</v>
      </c>
    </row>
    <row r="21" spans="1:5">
      <c r="A21" s="41" t="s">
        <v>262</v>
      </c>
      <c r="B21" s="41"/>
      <c r="C21" s="41">
        <f t="shared" si="1"/>
        <v>19</v>
      </c>
      <c r="D21" s="41">
        <f t="shared" si="0"/>
        <v>14366.850608177034</v>
      </c>
      <c r="E21" s="41">
        <f t="shared" si="2"/>
        <v>438749.30686177063</v>
      </c>
    </row>
    <row r="22" spans="1:5">
      <c r="A22" s="41" t="s">
        <v>268</v>
      </c>
      <c r="B22" s="41"/>
      <c r="C22" s="41">
        <f t="shared" si="1"/>
        <v>20</v>
      </c>
      <c r="D22" s="41">
        <f t="shared" si="0"/>
        <v>13682.714864930511</v>
      </c>
      <c r="E22" s="41">
        <f t="shared" si="2"/>
        <v>452432.02172670112</v>
      </c>
    </row>
    <row r="23" spans="1:5">
      <c r="C23" s="41">
        <f t="shared" si="1"/>
        <v>21</v>
      </c>
      <c r="D23" s="41">
        <f t="shared" si="0"/>
        <v>13031.157014219532</v>
      </c>
      <c r="E23" s="41">
        <f t="shared" si="2"/>
        <v>465463.17874092067</v>
      </c>
    </row>
    <row r="24" spans="1:5">
      <c r="C24" s="41">
        <f t="shared" si="1"/>
        <v>22</v>
      </c>
      <c r="D24" s="41">
        <f t="shared" si="0"/>
        <v>12410.625727828126</v>
      </c>
      <c r="E24" s="41">
        <f t="shared" si="2"/>
        <v>477873.8044687488</v>
      </c>
    </row>
    <row r="25" spans="1:5">
      <c r="C25" s="41">
        <f t="shared" si="1"/>
        <v>23</v>
      </c>
      <c r="D25" s="41">
        <f t="shared" si="0"/>
        <v>11819.643550312501</v>
      </c>
      <c r="E25" s="41">
        <f t="shared" si="2"/>
        <v>489693.4480190613</v>
      </c>
    </row>
    <row r="26" spans="1:5">
      <c r="C26" s="41">
        <f t="shared" si="1"/>
        <v>24</v>
      </c>
      <c r="D26" s="41">
        <f t="shared" si="0"/>
        <v>11256.803381250002</v>
      </c>
      <c r="E26" s="41">
        <f t="shared" si="2"/>
        <v>500950.2514003113</v>
      </c>
    </row>
    <row r="27" spans="1:5">
      <c r="C27" s="41">
        <f t="shared" si="1"/>
        <v>25</v>
      </c>
      <c r="D27" s="41">
        <f t="shared" si="0"/>
        <v>10720.765125</v>
      </c>
      <c r="E27" s="41">
        <f t="shared" si="2"/>
        <v>511671.01652531128</v>
      </c>
    </row>
    <row r="28" spans="1:5">
      <c r="C28" s="41">
        <f t="shared" si="1"/>
        <v>26</v>
      </c>
      <c r="D28" s="41">
        <f t="shared" si="0"/>
        <v>10210.252500000001</v>
      </c>
      <c r="E28" s="41">
        <f t="shared" si="2"/>
        <v>521881.26902531128</v>
      </c>
    </row>
    <row r="29" spans="1:5">
      <c r="C29" s="41">
        <f t="shared" si="1"/>
        <v>27</v>
      </c>
      <c r="D29" s="41">
        <f t="shared" si="0"/>
        <v>9724.0499999999993</v>
      </c>
      <c r="E29" s="41">
        <f t="shared" si="2"/>
        <v>531605.31902531127</v>
      </c>
    </row>
    <row r="30" spans="1:5">
      <c r="C30" s="41">
        <f t="shared" si="1"/>
        <v>28</v>
      </c>
      <c r="D30" s="41">
        <f t="shared" si="0"/>
        <v>9261.0000000000018</v>
      </c>
      <c r="E30" s="41">
        <f t="shared" si="2"/>
        <v>540866.31902531127</v>
      </c>
    </row>
    <row r="31" spans="1:5">
      <c r="C31" s="41">
        <f t="shared" si="1"/>
        <v>29</v>
      </c>
      <c r="D31" s="41">
        <f t="shared" si="0"/>
        <v>8820</v>
      </c>
      <c r="E31" s="41">
        <f t="shared" si="2"/>
        <v>549686.31902531127</v>
      </c>
    </row>
    <row r="32" spans="1:5">
      <c r="C32" s="41">
        <f t="shared" si="1"/>
        <v>30</v>
      </c>
      <c r="D32" s="41">
        <f t="shared" si="0"/>
        <v>8400</v>
      </c>
      <c r="E32" s="41">
        <f t="shared" si="2"/>
        <v>558086.31902531127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0"/>
  <sheetViews>
    <sheetView workbookViewId="0">
      <selection activeCell="B5" sqref="B5"/>
    </sheetView>
  </sheetViews>
  <sheetFormatPr defaultRowHeight="12.75"/>
  <cols>
    <col min="1" max="1" width="9.140625" style="37"/>
    <col min="2" max="2" width="14.42578125" style="37" customWidth="1"/>
    <col min="3" max="3" width="5.42578125" style="37" customWidth="1"/>
    <col min="4" max="257" width="9.140625" style="37"/>
    <col min="258" max="258" width="14.42578125" style="37" customWidth="1"/>
    <col min="259" max="259" width="5.42578125" style="37" customWidth="1"/>
    <col min="260" max="513" width="9.140625" style="37"/>
    <col min="514" max="514" width="14.42578125" style="37" customWidth="1"/>
    <col min="515" max="515" width="5.42578125" style="37" customWidth="1"/>
    <col min="516" max="769" width="9.140625" style="37"/>
    <col min="770" max="770" width="14.42578125" style="37" customWidth="1"/>
    <col min="771" max="771" width="5.42578125" style="37" customWidth="1"/>
    <col min="772" max="1025" width="9.140625" style="37"/>
    <col min="1026" max="1026" width="14.42578125" style="37" customWidth="1"/>
    <col min="1027" max="1027" width="5.42578125" style="37" customWidth="1"/>
    <col min="1028" max="1281" width="9.140625" style="37"/>
    <col min="1282" max="1282" width="14.42578125" style="37" customWidth="1"/>
    <col min="1283" max="1283" width="5.42578125" style="37" customWidth="1"/>
    <col min="1284" max="1537" width="9.140625" style="37"/>
    <col min="1538" max="1538" width="14.42578125" style="37" customWidth="1"/>
    <col min="1539" max="1539" width="5.42578125" style="37" customWidth="1"/>
    <col min="1540" max="1793" width="9.140625" style="37"/>
    <col min="1794" max="1794" width="14.42578125" style="37" customWidth="1"/>
    <col min="1795" max="1795" width="5.42578125" style="37" customWidth="1"/>
    <col min="1796" max="2049" width="9.140625" style="37"/>
    <col min="2050" max="2050" width="14.42578125" style="37" customWidth="1"/>
    <col min="2051" max="2051" width="5.42578125" style="37" customWidth="1"/>
    <col min="2052" max="2305" width="9.140625" style="37"/>
    <col min="2306" max="2306" width="14.42578125" style="37" customWidth="1"/>
    <col min="2307" max="2307" width="5.42578125" style="37" customWidth="1"/>
    <col min="2308" max="2561" width="9.140625" style="37"/>
    <col min="2562" max="2562" width="14.42578125" style="37" customWidth="1"/>
    <col min="2563" max="2563" width="5.42578125" style="37" customWidth="1"/>
    <col min="2564" max="2817" width="9.140625" style="37"/>
    <col min="2818" max="2818" width="14.42578125" style="37" customWidth="1"/>
    <col min="2819" max="2819" width="5.42578125" style="37" customWidth="1"/>
    <col min="2820" max="3073" width="9.140625" style="37"/>
    <col min="3074" max="3074" width="14.42578125" style="37" customWidth="1"/>
    <col min="3075" max="3075" width="5.42578125" style="37" customWidth="1"/>
    <col min="3076" max="3329" width="9.140625" style="37"/>
    <col min="3330" max="3330" width="14.42578125" style="37" customWidth="1"/>
    <col min="3331" max="3331" width="5.42578125" style="37" customWidth="1"/>
    <col min="3332" max="3585" width="9.140625" style="37"/>
    <col min="3586" max="3586" width="14.42578125" style="37" customWidth="1"/>
    <col min="3587" max="3587" width="5.42578125" style="37" customWidth="1"/>
    <col min="3588" max="3841" width="9.140625" style="37"/>
    <col min="3842" max="3842" width="14.42578125" style="37" customWidth="1"/>
    <col min="3843" max="3843" width="5.42578125" style="37" customWidth="1"/>
    <col min="3844" max="4097" width="9.140625" style="37"/>
    <col min="4098" max="4098" width="14.42578125" style="37" customWidth="1"/>
    <col min="4099" max="4099" width="5.42578125" style="37" customWidth="1"/>
    <col min="4100" max="4353" width="9.140625" style="37"/>
    <col min="4354" max="4354" width="14.42578125" style="37" customWidth="1"/>
    <col min="4355" max="4355" width="5.42578125" style="37" customWidth="1"/>
    <col min="4356" max="4609" width="9.140625" style="37"/>
    <col min="4610" max="4610" width="14.42578125" style="37" customWidth="1"/>
    <col min="4611" max="4611" width="5.42578125" style="37" customWidth="1"/>
    <col min="4612" max="4865" width="9.140625" style="37"/>
    <col min="4866" max="4866" width="14.42578125" style="37" customWidth="1"/>
    <col min="4867" max="4867" width="5.42578125" style="37" customWidth="1"/>
    <col min="4868" max="5121" width="9.140625" style="37"/>
    <col min="5122" max="5122" width="14.42578125" style="37" customWidth="1"/>
    <col min="5123" max="5123" width="5.42578125" style="37" customWidth="1"/>
    <col min="5124" max="5377" width="9.140625" style="37"/>
    <col min="5378" max="5378" width="14.42578125" style="37" customWidth="1"/>
    <col min="5379" max="5379" width="5.42578125" style="37" customWidth="1"/>
    <col min="5380" max="5633" width="9.140625" style="37"/>
    <col min="5634" max="5634" width="14.42578125" style="37" customWidth="1"/>
    <col min="5635" max="5635" width="5.42578125" style="37" customWidth="1"/>
    <col min="5636" max="5889" width="9.140625" style="37"/>
    <col min="5890" max="5890" width="14.42578125" style="37" customWidth="1"/>
    <col min="5891" max="5891" width="5.42578125" style="37" customWidth="1"/>
    <col min="5892" max="6145" width="9.140625" style="37"/>
    <col min="6146" max="6146" width="14.42578125" style="37" customWidth="1"/>
    <col min="6147" max="6147" width="5.42578125" style="37" customWidth="1"/>
    <col min="6148" max="6401" width="9.140625" style="37"/>
    <col min="6402" max="6402" width="14.42578125" style="37" customWidth="1"/>
    <col min="6403" max="6403" width="5.42578125" style="37" customWidth="1"/>
    <col min="6404" max="6657" width="9.140625" style="37"/>
    <col min="6658" max="6658" width="14.42578125" style="37" customWidth="1"/>
    <col min="6659" max="6659" width="5.42578125" style="37" customWidth="1"/>
    <col min="6660" max="6913" width="9.140625" style="37"/>
    <col min="6914" max="6914" width="14.42578125" style="37" customWidth="1"/>
    <col min="6915" max="6915" width="5.42578125" style="37" customWidth="1"/>
    <col min="6916" max="7169" width="9.140625" style="37"/>
    <col min="7170" max="7170" width="14.42578125" style="37" customWidth="1"/>
    <col min="7171" max="7171" width="5.42578125" style="37" customWidth="1"/>
    <col min="7172" max="7425" width="9.140625" style="37"/>
    <col min="7426" max="7426" width="14.42578125" style="37" customWidth="1"/>
    <col min="7427" max="7427" width="5.42578125" style="37" customWidth="1"/>
    <col min="7428" max="7681" width="9.140625" style="37"/>
    <col min="7682" max="7682" width="14.42578125" style="37" customWidth="1"/>
    <col min="7683" max="7683" width="5.42578125" style="37" customWidth="1"/>
    <col min="7684" max="7937" width="9.140625" style="37"/>
    <col min="7938" max="7938" width="14.42578125" style="37" customWidth="1"/>
    <col min="7939" max="7939" width="5.42578125" style="37" customWidth="1"/>
    <col min="7940" max="8193" width="9.140625" style="37"/>
    <col min="8194" max="8194" width="14.42578125" style="37" customWidth="1"/>
    <col min="8195" max="8195" width="5.42578125" style="37" customWidth="1"/>
    <col min="8196" max="8449" width="9.140625" style="37"/>
    <col min="8450" max="8450" width="14.42578125" style="37" customWidth="1"/>
    <col min="8451" max="8451" width="5.42578125" style="37" customWidth="1"/>
    <col min="8452" max="8705" width="9.140625" style="37"/>
    <col min="8706" max="8706" width="14.42578125" style="37" customWidth="1"/>
    <col min="8707" max="8707" width="5.42578125" style="37" customWidth="1"/>
    <col min="8708" max="8961" width="9.140625" style="37"/>
    <col min="8962" max="8962" width="14.42578125" style="37" customWidth="1"/>
    <col min="8963" max="8963" width="5.42578125" style="37" customWidth="1"/>
    <col min="8964" max="9217" width="9.140625" style="37"/>
    <col min="9218" max="9218" width="14.42578125" style="37" customWidth="1"/>
    <col min="9219" max="9219" width="5.42578125" style="37" customWidth="1"/>
    <col min="9220" max="9473" width="9.140625" style="37"/>
    <col min="9474" max="9474" width="14.42578125" style="37" customWidth="1"/>
    <col min="9475" max="9475" width="5.42578125" style="37" customWidth="1"/>
    <col min="9476" max="9729" width="9.140625" style="37"/>
    <col min="9730" max="9730" width="14.42578125" style="37" customWidth="1"/>
    <col min="9731" max="9731" width="5.42578125" style="37" customWidth="1"/>
    <col min="9732" max="9985" width="9.140625" style="37"/>
    <col min="9986" max="9986" width="14.42578125" style="37" customWidth="1"/>
    <col min="9987" max="9987" width="5.42578125" style="37" customWidth="1"/>
    <col min="9988" max="10241" width="9.140625" style="37"/>
    <col min="10242" max="10242" width="14.42578125" style="37" customWidth="1"/>
    <col min="10243" max="10243" width="5.42578125" style="37" customWidth="1"/>
    <col min="10244" max="10497" width="9.140625" style="37"/>
    <col min="10498" max="10498" width="14.42578125" style="37" customWidth="1"/>
    <col min="10499" max="10499" width="5.42578125" style="37" customWidth="1"/>
    <col min="10500" max="10753" width="9.140625" style="37"/>
    <col min="10754" max="10754" width="14.42578125" style="37" customWidth="1"/>
    <col min="10755" max="10755" width="5.42578125" style="37" customWidth="1"/>
    <col min="10756" max="11009" width="9.140625" style="37"/>
    <col min="11010" max="11010" width="14.42578125" style="37" customWidth="1"/>
    <col min="11011" max="11011" width="5.42578125" style="37" customWidth="1"/>
    <col min="11012" max="11265" width="9.140625" style="37"/>
    <col min="11266" max="11266" width="14.42578125" style="37" customWidth="1"/>
    <col min="11267" max="11267" width="5.42578125" style="37" customWidth="1"/>
    <col min="11268" max="11521" width="9.140625" style="37"/>
    <col min="11522" max="11522" width="14.42578125" style="37" customWidth="1"/>
    <col min="11523" max="11523" width="5.42578125" style="37" customWidth="1"/>
    <col min="11524" max="11777" width="9.140625" style="37"/>
    <col min="11778" max="11778" width="14.42578125" style="37" customWidth="1"/>
    <col min="11779" max="11779" width="5.42578125" style="37" customWidth="1"/>
    <col min="11780" max="12033" width="9.140625" style="37"/>
    <col min="12034" max="12034" width="14.42578125" style="37" customWidth="1"/>
    <col min="12035" max="12035" width="5.42578125" style="37" customWidth="1"/>
    <col min="12036" max="12289" width="9.140625" style="37"/>
    <col min="12290" max="12290" width="14.42578125" style="37" customWidth="1"/>
    <col min="12291" max="12291" width="5.42578125" style="37" customWidth="1"/>
    <col min="12292" max="12545" width="9.140625" style="37"/>
    <col min="12546" max="12546" width="14.42578125" style="37" customWidth="1"/>
    <col min="12547" max="12547" width="5.42578125" style="37" customWidth="1"/>
    <col min="12548" max="12801" width="9.140625" style="37"/>
    <col min="12802" max="12802" width="14.42578125" style="37" customWidth="1"/>
    <col min="12803" max="12803" width="5.42578125" style="37" customWidth="1"/>
    <col min="12804" max="13057" width="9.140625" style="37"/>
    <col min="13058" max="13058" width="14.42578125" style="37" customWidth="1"/>
    <col min="13059" max="13059" width="5.42578125" style="37" customWidth="1"/>
    <col min="13060" max="13313" width="9.140625" style="37"/>
    <col min="13314" max="13314" width="14.42578125" style="37" customWidth="1"/>
    <col min="13315" max="13315" width="5.42578125" style="37" customWidth="1"/>
    <col min="13316" max="13569" width="9.140625" style="37"/>
    <col min="13570" max="13570" width="14.42578125" style="37" customWidth="1"/>
    <col min="13571" max="13571" width="5.42578125" style="37" customWidth="1"/>
    <col min="13572" max="13825" width="9.140625" style="37"/>
    <col min="13826" max="13826" width="14.42578125" style="37" customWidth="1"/>
    <col min="13827" max="13827" width="5.42578125" style="37" customWidth="1"/>
    <col min="13828" max="14081" width="9.140625" style="37"/>
    <col min="14082" max="14082" width="14.42578125" style="37" customWidth="1"/>
    <col min="14083" max="14083" width="5.42578125" style="37" customWidth="1"/>
    <col min="14084" max="14337" width="9.140625" style="37"/>
    <col min="14338" max="14338" width="14.42578125" style="37" customWidth="1"/>
    <col min="14339" max="14339" width="5.42578125" style="37" customWidth="1"/>
    <col min="14340" max="14593" width="9.140625" style="37"/>
    <col min="14594" max="14594" width="14.42578125" style="37" customWidth="1"/>
    <col min="14595" max="14595" width="5.42578125" style="37" customWidth="1"/>
    <col min="14596" max="14849" width="9.140625" style="37"/>
    <col min="14850" max="14850" width="14.42578125" style="37" customWidth="1"/>
    <col min="14851" max="14851" width="5.42578125" style="37" customWidth="1"/>
    <col min="14852" max="15105" width="9.140625" style="37"/>
    <col min="15106" max="15106" width="14.42578125" style="37" customWidth="1"/>
    <col min="15107" max="15107" width="5.42578125" style="37" customWidth="1"/>
    <col min="15108" max="15361" width="9.140625" style="37"/>
    <col min="15362" max="15362" width="14.42578125" style="37" customWidth="1"/>
    <col min="15363" max="15363" width="5.42578125" style="37" customWidth="1"/>
    <col min="15364" max="15617" width="9.140625" style="37"/>
    <col min="15618" max="15618" width="14.42578125" style="37" customWidth="1"/>
    <col min="15619" max="15619" width="5.42578125" style="37" customWidth="1"/>
    <col min="15620" max="15873" width="9.140625" style="37"/>
    <col min="15874" max="15874" width="14.42578125" style="37" customWidth="1"/>
    <col min="15875" max="15875" width="5.42578125" style="37" customWidth="1"/>
    <col min="15876" max="16129" width="9.140625" style="37"/>
    <col min="16130" max="16130" width="14.42578125" style="37" customWidth="1"/>
    <col min="16131" max="16131" width="5.42578125" style="37" customWidth="1"/>
    <col min="16132" max="16384" width="9.140625" style="37"/>
  </cols>
  <sheetData>
    <row r="1" spans="1:5" ht="18">
      <c r="A1" s="40" t="s">
        <v>244</v>
      </c>
      <c r="B1" s="41"/>
      <c r="C1" s="41"/>
      <c r="D1" s="41"/>
      <c r="E1" s="41"/>
    </row>
    <row r="2" spans="1:5">
      <c r="A2" s="41" t="s">
        <v>245</v>
      </c>
      <c r="B2" s="41"/>
      <c r="C2" s="41"/>
      <c r="D2" s="41"/>
      <c r="E2" s="41"/>
    </row>
    <row r="3" spans="1:5">
      <c r="A3" s="41" t="s">
        <v>246</v>
      </c>
      <c r="B3" s="41"/>
      <c r="C3" s="41"/>
      <c r="D3" s="41"/>
      <c r="E3" s="41"/>
    </row>
    <row r="4" spans="1:5">
      <c r="A4" s="41" t="s">
        <v>247</v>
      </c>
      <c r="B4" s="41"/>
      <c r="C4" s="41"/>
      <c r="D4" s="41"/>
      <c r="E4" s="41"/>
    </row>
    <row r="5" spans="1:5">
      <c r="A5" s="41" t="s">
        <v>248</v>
      </c>
      <c r="B5" s="37">
        <v>1000</v>
      </c>
      <c r="C5" s="41">
        <v>1</v>
      </c>
      <c r="D5" s="41">
        <f t="shared" ref="D5:D68" si="0">B$5*(1+B$6)^(B$7+1-C5)</f>
        <v>1614.1427084608413</v>
      </c>
      <c r="E5" s="41">
        <f>D5</f>
        <v>1614.1427084608413</v>
      </c>
    </row>
    <row r="6" spans="1:5">
      <c r="A6" s="41" t="s">
        <v>249</v>
      </c>
      <c r="B6" s="37">
        <v>5.0000000000000001E-3</v>
      </c>
      <c r="C6" s="41">
        <f t="shared" ref="C6:C69" si="1">C5+1</f>
        <v>2</v>
      </c>
      <c r="D6" s="41">
        <f t="shared" si="0"/>
        <v>1606.1121477222302</v>
      </c>
      <c r="E6" s="41">
        <f t="shared" ref="E6:E69" si="2">E5+D6</f>
        <v>3220.2548561830718</v>
      </c>
    </row>
    <row r="7" spans="1:5">
      <c r="A7" s="41" t="s">
        <v>250</v>
      </c>
      <c r="B7" s="37">
        <v>96</v>
      </c>
      <c r="C7" s="41">
        <f t="shared" si="1"/>
        <v>3</v>
      </c>
      <c r="D7" s="41">
        <f t="shared" si="0"/>
        <v>1598.1215400221201</v>
      </c>
      <c r="E7" s="41">
        <f t="shared" si="2"/>
        <v>4818.3763962051917</v>
      </c>
    </row>
    <row r="8" spans="1:5">
      <c r="A8" s="41"/>
      <c r="B8" s="41"/>
      <c r="C8" s="41">
        <f t="shared" si="1"/>
        <v>4</v>
      </c>
      <c r="D8" s="41">
        <f t="shared" si="0"/>
        <v>1590.1706865891745</v>
      </c>
      <c r="E8" s="41">
        <f t="shared" si="2"/>
        <v>6408.5470827943664</v>
      </c>
    </row>
    <row r="9" spans="1:5">
      <c r="A9" s="41" t="s">
        <v>251</v>
      </c>
      <c r="B9" s="41">
        <f>E100</f>
        <v>123442.68440063286</v>
      </c>
      <c r="C9" s="41">
        <f t="shared" si="1"/>
        <v>5</v>
      </c>
      <c r="D9" s="41">
        <f t="shared" si="0"/>
        <v>1582.2593896409699</v>
      </c>
      <c r="E9" s="41">
        <f t="shared" si="2"/>
        <v>7990.8064724353362</v>
      </c>
    </row>
    <row r="10" spans="1:5">
      <c r="A10" s="41" t="s">
        <v>251</v>
      </c>
      <c r="B10" s="41">
        <f>B5*((1+B6)^(B7+1)-(1+B6))/B6</f>
        <v>123442.68440062906</v>
      </c>
      <c r="C10" s="41">
        <f t="shared" si="1"/>
        <v>6</v>
      </c>
      <c r="D10" s="41">
        <f t="shared" si="0"/>
        <v>1574.3874523790748</v>
      </c>
      <c r="E10" s="41">
        <f t="shared" si="2"/>
        <v>9565.1939248144117</v>
      </c>
    </row>
    <row r="11" spans="1:5">
      <c r="A11" s="41"/>
      <c r="B11" s="41"/>
      <c r="C11" s="41">
        <f t="shared" si="1"/>
        <v>7</v>
      </c>
      <c r="D11" s="41">
        <f t="shared" si="0"/>
        <v>1566.5546789841542</v>
      </c>
      <c r="E11" s="41">
        <f t="shared" si="2"/>
        <v>11131.748603798565</v>
      </c>
    </row>
    <row r="12" spans="1:5">
      <c r="A12" s="41" t="s">
        <v>252</v>
      </c>
      <c r="B12" s="41"/>
      <c r="C12" s="41">
        <f t="shared" si="1"/>
        <v>8</v>
      </c>
      <c r="D12" s="41">
        <f t="shared" si="0"/>
        <v>1558.7608746110991</v>
      </c>
      <c r="E12" s="41">
        <f t="shared" si="2"/>
        <v>12690.509478409665</v>
      </c>
    </row>
    <row r="13" spans="1:5">
      <c r="A13" s="41" t="s">
        <v>253</v>
      </c>
      <c r="B13" s="41"/>
      <c r="C13" s="41">
        <f t="shared" si="1"/>
        <v>9</v>
      </c>
      <c r="D13" s="41">
        <f t="shared" si="0"/>
        <v>1551.0058453841784</v>
      </c>
      <c r="E13" s="41">
        <f t="shared" si="2"/>
        <v>14241.515323793843</v>
      </c>
    </row>
    <row r="14" spans="1:5">
      <c r="A14" s="41" t="s">
        <v>254</v>
      </c>
      <c r="B14" s="41"/>
      <c r="C14" s="41">
        <f t="shared" si="1"/>
        <v>10</v>
      </c>
      <c r="D14" s="41">
        <f t="shared" si="0"/>
        <v>1543.2893983922172</v>
      </c>
      <c r="E14" s="41">
        <f t="shared" si="2"/>
        <v>15784.80472218606</v>
      </c>
    </row>
    <row r="15" spans="1:5">
      <c r="A15" s="41" t="s">
        <v>255</v>
      </c>
      <c r="B15" s="41"/>
      <c r="C15" s="41">
        <f t="shared" si="1"/>
        <v>11</v>
      </c>
      <c r="D15" s="41">
        <f t="shared" si="0"/>
        <v>1535.6113416837984</v>
      </c>
      <c r="E15" s="41">
        <f t="shared" si="2"/>
        <v>17320.416063869859</v>
      </c>
    </row>
    <row r="16" spans="1:5">
      <c r="A16" s="41"/>
      <c r="B16" s="41"/>
      <c r="C16" s="41">
        <f t="shared" si="1"/>
        <v>12</v>
      </c>
      <c r="D16" s="41">
        <f t="shared" si="0"/>
        <v>1527.9714842624862</v>
      </c>
      <c r="E16" s="41">
        <f t="shared" si="2"/>
        <v>18848.387548132345</v>
      </c>
    </row>
    <row r="17" spans="1:5">
      <c r="A17" s="41" t="s">
        <v>256</v>
      </c>
      <c r="B17" s="41"/>
      <c r="C17" s="41">
        <f t="shared" si="1"/>
        <v>13</v>
      </c>
      <c r="D17" s="41">
        <f t="shared" si="0"/>
        <v>1520.3696360820763</v>
      </c>
      <c r="E17" s="41">
        <f t="shared" si="2"/>
        <v>20368.757184214421</v>
      </c>
    </row>
    <row r="18" spans="1:5">
      <c r="A18" s="41" t="s">
        <v>257</v>
      </c>
      <c r="B18" s="41"/>
      <c r="C18" s="41">
        <f t="shared" si="1"/>
        <v>14</v>
      </c>
      <c r="D18" s="41">
        <f t="shared" si="0"/>
        <v>1512.8056080418673</v>
      </c>
      <c r="E18" s="41">
        <f t="shared" si="2"/>
        <v>21881.562792256289</v>
      </c>
    </row>
    <row r="19" spans="1:5">
      <c r="A19" s="41" t="s">
        <v>258</v>
      </c>
      <c r="B19" s="41"/>
      <c r="C19" s="41">
        <f t="shared" si="1"/>
        <v>15</v>
      </c>
      <c r="D19" s="41">
        <f t="shared" si="0"/>
        <v>1505.2792119819576</v>
      </c>
      <c r="E19" s="41">
        <f t="shared" si="2"/>
        <v>23386.842004238246</v>
      </c>
    </row>
    <row r="20" spans="1:5">
      <c r="A20" s="41" t="s">
        <v>259</v>
      </c>
      <c r="B20" s="41"/>
      <c r="C20" s="41">
        <f t="shared" si="1"/>
        <v>16</v>
      </c>
      <c r="D20" s="41">
        <f t="shared" si="0"/>
        <v>1497.7902606785651</v>
      </c>
      <c r="E20" s="41">
        <f t="shared" si="2"/>
        <v>24884.632264916811</v>
      </c>
    </row>
    <row r="21" spans="1:5">
      <c r="A21" s="41" t="s">
        <v>260</v>
      </c>
      <c r="B21" s="41"/>
      <c r="C21" s="41">
        <f t="shared" si="1"/>
        <v>17</v>
      </c>
      <c r="D21" s="41">
        <f t="shared" si="0"/>
        <v>1490.3385678393684</v>
      </c>
      <c r="E21" s="41">
        <f t="shared" si="2"/>
        <v>26374.970832756178</v>
      </c>
    </row>
    <row r="22" spans="1:5">
      <c r="A22" s="41" t="s">
        <v>261</v>
      </c>
      <c r="B22" s="41"/>
      <c r="C22" s="41">
        <f t="shared" si="1"/>
        <v>18</v>
      </c>
      <c r="D22" s="41">
        <f t="shared" si="0"/>
        <v>1482.923948098874</v>
      </c>
      <c r="E22" s="41">
        <f t="shared" si="2"/>
        <v>27857.894780855051</v>
      </c>
    </row>
    <row r="23" spans="1:5">
      <c r="A23" s="41" t="s">
        <v>262</v>
      </c>
      <c r="B23" s="41"/>
      <c r="C23" s="41">
        <f t="shared" si="1"/>
        <v>19</v>
      </c>
      <c r="D23" s="41">
        <f t="shared" si="0"/>
        <v>1475.5462170138053</v>
      </c>
      <c r="E23" s="41">
        <f t="shared" si="2"/>
        <v>29333.440997868856</v>
      </c>
    </row>
    <row r="24" spans="1:5">
      <c r="A24" s="41" t="s">
        <v>263</v>
      </c>
      <c r="B24" s="41"/>
      <c r="C24" s="41">
        <f t="shared" si="1"/>
        <v>20</v>
      </c>
      <c r="D24" s="41">
        <f t="shared" si="0"/>
        <v>1468.2051910585133</v>
      </c>
      <c r="E24" s="41">
        <f t="shared" si="2"/>
        <v>30801.646188927371</v>
      </c>
    </row>
    <row r="25" spans="1:5">
      <c r="C25" s="41">
        <f t="shared" si="1"/>
        <v>21</v>
      </c>
      <c r="D25" s="41">
        <f t="shared" si="0"/>
        <v>1460.9006876204112</v>
      </c>
      <c r="E25" s="41">
        <f t="shared" si="2"/>
        <v>32262.546876547782</v>
      </c>
    </row>
    <row r="26" spans="1:5">
      <c r="C26" s="41">
        <f t="shared" si="1"/>
        <v>22</v>
      </c>
      <c r="D26" s="41">
        <f t="shared" si="0"/>
        <v>1453.6325249954346</v>
      </c>
      <c r="E26" s="41">
        <f t="shared" si="2"/>
        <v>33716.179401543217</v>
      </c>
    </row>
    <row r="27" spans="1:5">
      <c r="C27" s="41">
        <f t="shared" si="1"/>
        <v>23</v>
      </c>
      <c r="D27" s="41">
        <f t="shared" si="0"/>
        <v>1446.400522383517</v>
      </c>
      <c r="E27" s="41">
        <f t="shared" si="2"/>
        <v>35162.579923926736</v>
      </c>
    </row>
    <row r="28" spans="1:5">
      <c r="C28" s="41">
        <f t="shared" si="1"/>
        <v>24</v>
      </c>
      <c r="D28" s="41">
        <f t="shared" si="0"/>
        <v>1439.204499884097</v>
      </c>
      <c r="E28" s="41">
        <f t="shared" si="2"/>
        <v>36601.78442381083</v>
      </c>
    </row>
    <row r="29" spans="1:5">
      <c r="C29" s="41">
        <f t="shared" si="1"/>
        <v>25</v>
      </c>
      <c r="D29" s="41">
        <f t="shared" si="0"/>
        <v>1432.0442784916388</v>
      </c>
      <c r="E29" s="41">
        <f t="shared" si="2"/>
        <v>38033.828702302468</v>
      </c>
    </row>
    <row r="30" spans="1:5">
      <c r="C30" s="41">
        <f t="shared" si="1"/>
        <v>26</v>
      </c>
      <c r="D30" s="41">
        <f t="shared" si="0"/>
        <v>1424.919680091183</v>
      </c>
      <c r="E30" s="41">
        <f t="shared" si="2"/>
        <v>39458.748382393649</v>
      </c>
    </row>
    <row r="31" spans="1:5">
      <c r="C31" s="41">
        <f t="shared" si="1"/>
        <v>27</v>
      </c>
      <c r="D31" s="41">
        <f t="shared" si="0"/>
        <v>1417.8305274539136</v>
      </c>
      <c r="E31" s="41">
        <f t="shared" si="2"/>
        <v>40876.578909847565</v>
      </c>
    </row>
    <row r="32" spans="1:5">
      <c r="C32" s="41">
        <f t="shared" si="1"/>
        <v>28</v>
      </c>
      <c r="D32" s="41">
        <f t="shared" si="0"/>
        <v>1410.77664423275</v>
      </c>
      <c r="E32" s="41">
        <f t="shared" si="2"/>
        <v>42287.355554080314</v>
      </c>
    </row>
    <row r="33" spans="3:5">
      <c r="C33" s="41">
        <f t="shared" si="1"/>
        <v>29</v>
      </c>
      <c r="D33" s="41">
        <f t="shared" si="0"/>
        <v>1403.7578549579605</v>
      </c>
      <c r="E33" s="41">
        <f t="shared" si="2"/>
        <v>43691.113409038277</v>
      </c>
    </row>
    <row r="34" spans="3:5">
      <c r="C34" s="41">
        <f t="shared" si="1"/>
        <v>30</v>
      </c>
      <c r="D34" s="41">
        <f t="shared" si="0"/>
        <v>1396.7739850327969</v>
      </c>
      <c r="E34" s="41">
        <f t="shared" si="2"/>
        <v>45087.887394071076</v>
      </c>
    </row>
    <row r="35" spans="3:5">
      <c r="C35" s="41">
        <f t="shared" si="1"/>
        <v>31</v>
      </c>
      <c r="D35" s="41">
        <f t="shared" si="0"/>
        <v>1389.8248607291512</v>
      </c>
      <c r="E35" s="41">
        <f t="shared" si="2"/>
        <v>46477.71225480023</v>
      </c>
    </row>
    <row r="36" spans="3:5">
      <c r="C36" s="41">
        <f t="shared" si="1"/>
        <v>32</v>
      </c>
      <c r="D36" s="41">
        <f t="shared" si="0"/>
        <v>1382.9103091832353</v>
      </c>
      <c r="E36" s="41">
        <f t="shared" si="2"/>
        <v>47860.622563983467</v>
      </c>
    </row>
    <row r="37" spans="3:5">
      <c r="C37" s="41">
        <f t="shared" si="1"/>
        <v>33</v>
      </c>
      <c r="D37" s="41">
        <f t="shared" si="0"/>
        <v>1376.030158391279</v>
      </c>
      <c r="E37" s="41">
        <f t="shared" si="2"/>
        <v>49236.652722374747</v>
      </c>
    </row>
    <row r="38" spans="3:5">
      <c r="C38" s="41">
        <f t="shared" si="1"/>
        <v>34</v>
      </c>
      <c r="D38" s="41">
        <f t="shared" si="0"/>
        <v>1369.1842372052529</v>
      </c>
      <c r="E38" s="41">
        <f t="shared" si="2"/>
        <v>50605.836959580003</v>
      </c>
    </row>
    <row r="39" spans="3:5">
      <c r="C39" s="41">
        <f t="shared" si="1"/>
        <v>35</v>
      </c>
      <c r="D39" s="41">
        <f t="shared" si="0"/>
        <v>1362.3723753286101</v>
      </c>
      <c r="E39" s="41">
        <f t="shared" si="2"/>
        <v>51968.209334908614</v>
      </c>
    </row>
    <row r="40" spans="3:5">
      <c r="C40" s="41">
        <f t="shared" si="1"/>
        <v>36</v>
      </c>
      <c r="D40" s="41">
        <f t="shared" si="0"/>
        <v>1355.5944033120502</v>
      </c>
      <c r="E40" s="41">
        <f t="shared" si="2"/>
        <v>53323.80373822066</v>
      </c>
    </row>
    <row r="41" spans="3:5">
      <c r="C41" s="41">
        <f t="shared" si="1"/>
        <v>37</v>
      </c>
      <c r="D41" s="41">
        <f t="shared" si="0"/>
        <v>1348.8501525493036</v>
      </c>
      <c r="E41" s="41">
        <f t="shared" si="2"/>
        <v>54672.653890769965</v>
      </c>
    </row>
    <row r="42" spans="3:5">
      <c r="C42" s="41">
        <f t="shared" si="1"/>
        <v>38</v>
      </c>
      <c r="D42" s="41">
        <f t="shared" si="0"/>
        <v>1342.1394552729394</v>
      </c>
      <c r="E42" s="41">
        <f t="shared" si="2"/>
        <v>56014.793346042905</v>
      </c>
    </row>
    <row r="43" spans="3:5">
      <c r="C43" s="41">
        <f t="shared" si="1"/>
        <v>39</v>
      </c>
      <c r="D43" s="41">
        <f t="shared" si="0"/>
        <v>1335.4621445501887</v>
      </c>
      <c r="E43" s="41">
        <f t="shared" si="2"/>
        <v>57350.255490593096</v>
      </c>
    </row>
    <row r="44" spans="3:5">
      <c r="C44" s="41">
        <f t="shared" si="1"/>
        <v>40</v>
      </c>
      <c r="D44" s="41">
        <f t="shared" si="0"/>
        <v>1328.8180542787948</v>
      </c>
      <c r="E44" s="41">
        <f t="shared" si="2"/>
        <v>58679.073544871891</v>
      </c>
    </row>
    <row r="45" spans="3:5">
      <c r="C45" s="41">
        <f t="shared" si="1"/>
        <v>41</v>
      </c>
      <c r="D45" s="41">
        <f t="shared" si="0"/>
        <v>1322.2070191828807</v>
      </c>
      <c r="E45" s="41">
        <f t="shared" si="2"/>
        <v>60001.280564054774</v>
      </c>
    </row>
    <row r="46" spans="3:5">
      <c r="C46" s="41">
        <f t="shared" si="1"/>
        <v>42</v>
      </c>
      <c r="D46" s="41">
        <f t="shared" si="0"/>
        <v>1315.6288748088366</v>
      </c>
      <c r="E46" s="41">
        <f t="shared" si="2"/>
        <v>61316.909438863608</v>
      </c>
    </row>
    <row r="47" spans="3:5">
      <c r="C47" s="41">
        <f t="shared" si="1"/>
        <v>43</v>
      </c>
      <c r="D47" s="41">
        <f t="shared" si="0"/>
        <v>1309.0834575212305</v>
      </c>
      <c r="E47" s="41">
        <f t="shared" si="2"/>
        <v>62625.992896384836</v>
      </c>
    </row>
    <row r="48" spans="3:5">
      <c r="C48" s="41">
        <f t="shared" si="1"/>
        <v>44</v>
      </c>
      <c r="D48" s="41">
        <f t="shared" si="0"/>
        <v>1302.5706044987371</v>
      </c>
      <c r="E48" s="41">
        <f t="shared" si="2"/>
        <v>63928.563500883574</v>
      </c>
    </row>
    <row r="49" spans="3:5">
      <c r="C49" s="41">
        <f t="shared" si="1"/>
        <v>45</v>
      </c>
      <c r="D49" s="41">
        <f t="shared" si="0"/>
        <v>1296.0901537300867</v>
      </c>
      <c r="E49" s="41">
        <f t="shared" si="2"/>
        <v>65224.653654613663</v>
      </c>
    </row>
    <row r="50" spans="3:5">
      <c r="C50" s="41">
        <f t="shared" si="1"/>
        <v>46</v>
      </c>
      <c r="D50" s="41">
        <f t="shared" si="0"/>
        <v>1289.6419440100369</v>
      </c>
      <c r="E50" s="41">
        <f t="shared" si="2"/>
        <v>66514.295598623707</v>
      </c>
    </row>
    <row r="51" spans="3:5">
      <c r="C51" s="41">
        <f t="shared" si="1"/>
        <v>47</v>
      </c>
      <c r="D51" s="41">
        <f t="shared" si="0"/>
        <v>1283.2258149353602</v>
      </c>
      <c r="E51" s="41">
        <f t="shared" si="2"/>
        <v>67797.521413559065</v>
      </c>
    </row>
    <row r="52" spans="3:5">
      <c r="C52" s="41">
        <f t="shared" si="1"/>
        <v>48</v>
      </c>
      <c r="D52" s="41">
        <f t="shared" si="0"/>
        <v>1276.8416069008563</v>
      </c>
      <c r="E52" s="41">
        <f t="shared" si="2"/>
        <v>69074.363020459918</v>
      </c>
    </row>
    <row r="53" spans="3:5">
      <c r="C53" s="41">
        <f t="shared" si="1"/>
        <v>49</v>
      </c>
      <c r="D53" s="41">
        <f t="shared" si="0"/>
        <v>1270.4891610953794</v>
      </c>
      <c r="E53" s="41">
        <f t="shared" si="2"/>
        <v>70344.852181555296</v>
      </c>
    </row>
    <row r="54" spans="3:5">
      <c r="C54" s="41">
        <f t="shared" si="1"/>
        <v>50</v>
      </c>
      <c r="D54" s="41">
        <f t="shared" si="0"/>
        <v>1264.16831949789</v>
      </c>
      <c r="E54" s="41">
        <f t="shared" si="2"/>
        <v>71609.020501053179</v>
      </c>
    </row>
    <row r="55" spans="3:5">
      <c r="C55" s="41">
        <f t="shared" si="1"/>
        <v>51</v>
      </c>
      <c r="D55" s="41">
        <f t="shared" si="0"/>
        <v>1257.8789248735229</v>
      </c>
      <c r="E55" s="41">
        <f t="shared" si="2"/>
        <v>72866.899425926706</v>
      </c>
    </row>
    <row r="56" spans="3:5">
      <c r="C56" s="41">
        <f t="shared" si="1"/>
        <v>52</v>
      </c>
      <c r="D56" s="41">
        <f t="shared" si="0"/>
        <v>1251.6208207696745</v>
      </c>
      <c r="E56" s="41">
        <f t="shared" si="2"/>
        <v>74118.520246696382</v>
      </c>
    </row>
    <row r="57" spans="3:5">
      <c r="C57" s="41">
        <f t="shared" si="1"/>
        <v>53</v>
      </c>
      <c r="D57" s="41">
        <f t="shared" si="0"/>
        <v>1245.3938515121145</v>
      </c>
      <c r="E57" s="41">
        <f t="shared" si="2"/>
        <v>75363.914098208494</v>
      </c>
    </row>
    <row r="58" spans="3:5">
      <c r="C58" s="41">
        <f t="shared" si="1"/>
        <v>54</v>
      </c>
      <c r="D58" s="41">
        <f t="shared" si="0"/>
        <v>1239.197862201109</v>
      </c>
      <c r="E58" s="41">
        <f t="shared" si="2"/>
        <v>76603.111960409602</v>
      </c>
    </row>
    <row r="59" spans="3:5">
      <c r="C59" s="41">
        <f t="shared" si="1"/>
        <v>55</v>
      </c>
      <c r="D59" s="41">
        <f t="shared" si="0"/>
        <v>1233.0326987075712</v>
      </c>
      <c r="E59" s="41">
        <f t="shared" si="2"/>
        <v>77836.14465911717</v>
      </c>
    </row>
    <row r="60" spans="3:5">
      <c r="C60" s="41">
        <f t="shared" si="1"/>
        <v>56</v>
      </c>
      <c r="D60" s="41">
        <f t="shared" si="0"/>
        <v>1226.8982076692255</v>
      </c>
      <c r="E60" s="41">
        <f t="shared" si="2"/>
        <v>79063.042866786389</v>
      </c>
    </row>
    <row r="61" spans="3:5">
      <c r="C61" s="41">
        <f t="shared" si="1"/>
        <v>57</v>
      </c>
      <c r="D61" s="41">
        <f t="shared" si="0"/>
        <v>1220.7942364867915</v>
      </c>
      <c r="E61" s="41">
        <f t="shared" si="2"/>
        <v>80283.837103273181</v>
      </c>
    </row>
    <row r="62" spans="3:5">
      <c r="C62" s="41">
        <f t="shared" si="1"/>
        <v>58</v>
      </c>
      <c r="D62" s="41">
        <f t="shared" si="0"/>
        <v>1214.7206333201907</v>
      </c>
      <c r="E62" s="41">
        <f t="shared" si="2"/>
        <v>81498.557736593371</v>
      </c>
    </row>
    <row r="63" spans="3:5">
      <c r="C63" s="41">
        <f t="shared" si="1"/>
        <v>59</v>
      </c>
      <c r="D63" s="41">
        <f t="shared" si="0"/>
        <v>1208.677247084767</v>
      </c>
      <c r="E63" s="41">
        <f t="shared" si="2"/>
        <v>82707.234983678136</v>
      </c>
    </row>
    <row r="64" spans="3:5">
      <c r="C64" s="41">
        <f t="shared" si="1"/>
        <v>60</v>
      </c>
      <c r="D64" s="41">
        <f t="shared" si="0"/>
        <v>1202.6639274475294</v>
      </c>
      <c r="E64" s="41">
        <f t="shared" si="2"/>
        <v>83909.898911125667</v>
      </c>
    </row>
    <row r="65" spans="3:5">
      <c r="C65" s="41">
        <f t="shared" si="1"/>
        <v>61</v>
      </c>
      <c r="D65" s="41">
        <f t="shared" si="0"/>
        <v>1196.6805248234127</v>
      </c>
      <c r="E65" s="41">
        <f t="shared" si="2"/>
        <v>85106.579435949083</v>
      </c>
    </row>
    <row r="66" spans="3:5">
      <c r="C66" s="41">
        <f t="shared" si="1"/>
        <v>62</v>
      </c>
      <c r="D66" s="41">
        <f t="shared" si="0"/>
        <v>1190.7268903715553</v>
      </c>
      <c r="E66" s="41">
        <f t="shared" si="2"/>
        <v>86297.306326320642</v>
      </c>
    </row>
    <row r="67" spans="3:5">
      <c r="C67" s="41">
        <f t="shared" si="1"/>
        <v>63</v>
      </c>
      <c r="D67" s="41">
        <f t="shared" si="0"/>
        <v>1184.8028759915974</v>
      </c>
      <c r="E67" s="41">
        <f t="shared" si="2"/>
        <v>87482.109202312233</v>
      </c>
    </row>
    <row r="68" spans="3:5">
      <c r="C68" s="41">
        <f t="shared" si="1"/>
        <v>64</v>
      </c>
      <c r="D68" s="41">
        <f t="shared" si="0"/>
        <v>1178.9083343199975</v>
      </c>
      <c r="E68" s="41">
        <f t="shared" si="2"/>
        <v>88661.017536632236</v>
      </c>
    </row>
    <row r="69" spans="3:5">
      <c r="C69" s="41">
        <f t="shared" si="1"/>
        <v>65</v>
      </c>
      <c r="D69" s="41">
        <f t="shared" ref="D69:D98" si="3">B$5*(1+B$6)^(B$7+1-C69)</f>
        <v>1173.0431187263659</v>
      </c>
      <c r="E69" s="41">
        <f t="shared" si="2"/>
        <v>89834.060655358597</v>
      </c>
    </row>
    <row r="70" spans="3:5">
      <c r="C70" s="41">
        <f t="shared" ref="C70:C100" si="4">C69+1</f>
        <v>66</v>
      </c>
      <c r="D70" s="41">
        <f t="shared" si="3"/>
        <v>1167.2070833098169</v>
      </c>
      <c r="E70" s="41">
        <f t="shared" ref="E70:E98" si="5">E69+D70</f>
        <v>91001.267738668408</v>
      </c>
    </row>
    <row r="71" spans="3:5">
      <c r="C71" s="41">
        <f t="shared" si="4"/>
        <v>67</v>
      </c>
      <c r="D71" s="41">
        <f t="shared" si="3"/>
        <v>1161.4000828953406</v>
      </c>
      <c r="E71" s="41">
        <f t="shared" si="5"/>
        <v>92162.667821563751</v>
      </c>
    </row>
    <row r="72" spans="3:5">
      <c r="C72" s="41">
        <f t="shared" si="4"/>
        <v>68</v>
      </c>
      <c r="D72" s="41">
        <f t="shared" si="3"/>
        <v>1155.6219730301898</v>
      </c>
      <c r="E72" s="41">
        <f t="shared" si="5"/>
        <v>93318.289794593948</v>
      </c>
    </row>
    <row r="73" spans="3:5">
      <c r="C73" s="41">
        <f t="shared" si="4"/>
        <v>69</v>
      </c>
      <c r="D73" s="41">
        <f t="shared" si="3"/>
        <v>1149.8726099802884</v>
      </c>
      <c r="E73" s="41">
        <f t="shared" si="5"/>
        <v>94468.162404574236</v>
      </c>
    </row>
    <row r="74" spans="3:5">
      <c r="C74" s="41">
        <f t="shared" si="4"/>
        <v>70</v>
      </c>
      <c r="D74" s="41">
        <f t="shared" si="3"/>
        <v>1144.1518507266555</v>
      </c>
      <c r="E74" s="41">
        <f t="shared" si="5"/>
        <v>95612.314255300895</v>
      </c>
    </row>
    <row r="75" spans="3:5">
      <c r="C75" s="41">
        <f t="shared" si="4"/>
        <v>71</v>
      </c>
      <c r="D75" s="41">
        <f t="shared" si="3"/>
        <v>1138.4595529618464</v>
      </c>
      <c r="E75" s="41">
        <f t="shared" si="5"/>
        <v>96750.773808262747</v>
      </c>
    </row>
    <row r="76" spans="3:5">
      <c r="C76" s="41">
        <f t="shared" si="4"/>
        <v>72</v>
      </c>
      <c r="D76" s="41">
        <f t="shared" si="3"/>
        <v>1132.7955750864144</v>
      </c>
      <c r="E76" s="41">
        <f t="shared" si="5"/>
        <v>97883.569383349168</v>
      </c>
    </row>
    <row r="77" spans="3:5">
      <c r="C77" s="41">
        <f t="shared" si="4"/>
        <v>73</v>
      </c>
      <c r="D77" s="41">
        <f t="shared" si="3"/>
        <v>1127.1597762053877</v>
      </c>
      <c r="E77" s="41">
        <f t="shared" si="5"/>
        <v>99010.729159554554</v>
      </c>
    </row>
    <row r="78" spans="3:5">
      <c r="C78" s="41">
        <f t="shared" si="4"/>
        <v>74</v>
      </c>
      <c r="D78" s="41">
        <f t="shared" si="3"/>
        <v>1121.5520161247639</v>
      </c>
      <c r="E78" s="41">
        <f t="shared" si="5"/>
        <v>100132.28117567932</v>
      </c>
    </row>
    <row r="79" spans="3:5">
      <c r="C79" s="41">
        <f t="shared" si="4"/>
        <v>75</v>
      </c>
      <c r="D79" s="41">
        <f t="shared" si="3"/>
        <v>1115.972155348024</v>
      </c>
      <c r="E79" s="41">
        <f t="shared" si="5"/>
        <v>101248.25333102734</v>
      </c>
    </row>
    <row r="80" spans="3:5">
      <c r="C80" s="41">
        <f t="shared" si="4"/>
        <v>76</v>
      </c>
      <c r="D80" s="41">
        <f t="shared" si="3"/>
        <v>1110.4200550726609</v>
      </c>
      <c r="E80" s="41">
        <f t="shared" si="5"/>
        <v>102358.67338610001</v>
      </c>
    </row>
    <row r="81" spans="3:5">
      <c r="C81" s="41">
        <f t="shared" si="4"/>
        <v>77</v>
      </c>
      <c r="D81" s="41">
        <f t="shared" si="3"/>
        <v>1104.8955771867275</v>
      </c>
      <c r="E81" s="41">
        <f t="shared" si="5"/>
        <v>103463.56896328674</v>
      </c>
    </row>
    <row r="82" spans="3:5">
      <c r="C82" s="41">
        <f t="shared" si="4"/>
        <v>78</v>
      </c>
      <c r="D82" s="41">
        <f t="shared" si="3"/>
        <v>1099.3985842654006</v>
      </c>
      <c r="E82" s="41">
        <f t="shared" si="5"/>
        <v>104562.96754755215</v>
      </c>
    </row>
    <row r="83" spans="3:5">
      <c r="C83" s="41">
        <f t="shared" si="4"/>
        <v>79</v>
      </c>
      <c r="D83" s="41">
        <f t="shared" si="3"/>
        <v>1093.9289395675628</v>
      </c>
      <c r="E83" s="41">
        <f t="shared" si="5"/>
        <v>105656.89648711971</v>
      </c>
    </row>
    <row r="84" spans="3:5">
      <c r="C84" s="41">
        <f t="shared" si="4"/>
        <v>80</v>
      </c>
      <c r="D84" s="41">
        <f t="shared" si="3"/>
        <v>1088.4865070324013</v>
      </c>
      <c r="E84" s="41">
        <f t="shared" si="5"/>
        <v>106745.38299415211</v>
      </c>
    </row>
    <row r="85" spans="3:5">
      <c r="C85" s="41">
        <f t="shared" si="4"/>
        <v>81</v>
      </c>
      <c r="D85" s="41">
        <f t="shared" si="3"/>
        <v>1083.0711512760211</v>
      </c>
      <c r="E85" s="41">
        <f t="shared" si="5"/>
        <v>107828.45414542813</v>
      </c>
    </row>
    <row r="86" spans="3:5">
      <c r="C86" s="41">
        <f t="shared" si="4"/>
        <v>82</v>
      </c>
      <c r="D86" s="41">
        <f t="shared" si="3"/>
        <v>1077.682737588081</v>
      </c>
      <c r="E86" s="41">
        <f t="shared" si="5"/>
        <v>108906.13688301621</v>
      </c>
    </row>
    <row r="87" spans="3:5">
      <c r="C87" s="41">
        <f t="shared" si="4"/>
        <v>83</v>
      </c>
      <c r="D87" s="41">
        <f t="shared" si="3"/>
        <v>1072.3211319284389</v>
      </c>
      <c r="E87" s="41">
        <f t="shared" si="5"/>
        <v>109978.45801494466</v>
      </c>
    </row>
    <row r="88" spans="3:5">
      <c r="C88" s="41">
        <f t="shared" si="4"/>
        <v>84</v>
      </c>
      <c r="D88" s="41">
        <f t="shared" si="3"/>
        <v>1066.98620092382</v>
      </c>
      <c r="E88" s="41">
        <f t="shared" si="5"/>
        <v>111045.44421586847</v>
      </c>
    </row>
    <row r="89" spans="3:5">
      <c r="C89" s="41">
        <f t="shared" si="4"/>
        <v>85</v>
      </c>
      <c r="D89" s="41">
        <f t="shared" si="3"/>
        <v>1061.6778118644977</v>
      </c>
      <c r="E89" s="41">
        <f t="shared" si="5"/>
        <v>112107.12202773297</v>
      </c>
    </row>
    <row r="90" spans="3:5">
      <c r="C90" s="41">
        <f t="shared" si="4"/>
        <v>86</v>
      </c>
      <c r="D90" s="41">
        <f t="shared" si="3"/>
        <v>1056.395832700993</v>
      </c>
      <c r="E90" s="41">
        <f t="shared" si="5"/>
        <v>113163.51786043396</v>
      </c>
    </row>
    <row r="91" spans="3:5">
      <c r="C91" s="41">
        <f t="shared" si="4"/>
        <v>87</v>
      </c>
      <c r="D91" s="41">
        <f t="shared" si="3"/>
        <v>1051.1401320407892</v>
      </c>
      <c r="E91" s="41">
        <f t="shared" si="5"/>
        <v>114214.65799247475</v>
      </c>
    </row>
    <row r="92" spans="3:5">
      <c r="C92" s="41">
        <f t="shared" si="4"/>
        <v>88</v>
      </c>
      <c r="D92" s="41">
        <f t="shared" si="3"/>
        <v>1045.910579145064</v>
      </c>
      <c r="E92" s="41">
        <f t="shared" si="5"/>
        <v>115260.56857161982</v>
      </c>
    </row>
    <row r="93" spans="3:5">
      <c r="C93" s="41">
        <f t="shared" si="4"/>
        <v>89</v>
      </c>
      <c r="D93" s="41">
        <f t="shared" si="3"/>
        <v>1040.7070439254369</v>
      </c>
      <c r="E93" s="41">
        <f t="shared" si="5"/>
        <v>116301.27561554525</v>
      </c>
    </row>
    <row r="94" spans="3:5">
      <c r="C94" s="41">
        <f t="shared" si="4"/>
        <v>90</v>
      </c>
      <c r="D94" s="41">
        <f t="shared" si="3"/>
        <v>1035.5293969407332</v>
      </c>
      <c r="E94" s="41">
        <f t="shared" si="5"/>
        <v>117336.80501248599</v>
      </c>
    </row>
    <row r="95" spans="3:5">
      <c r="C95" s="41">
        <f t="shared" si="4"/>
        <v>91</v>
      </c>
      <c r="D95" s="41">
        <f t="shared" si="3"/>
        <v>1030.3775093937645</v>
      </c>
      <c r="E95" s="41">
        <f t="shared" si="5"/>
        <v>118367.18252187975</v>
      </c>
    </row>
    <row r="96" spans="3:5">
      <c r="C96" s="41">
        <f t="shared" si="4"/>
        <v>92</v>
      </c>
      <c r="D96" s="41">
        <f t="shared" si="3"/>
        <v>1025.2512531281241</v>
      </c>
      <c r="E96" s="41">
        <f t="shared" si="5"/>
        <v>119392.43377500787</v>
      </c>
    </row>
    <row r="97" spans="3:5">
      <c r="C97" s="41">
        <f t="shared" si="4"/>
        <v>93</v>
      </c>
      <c r="D97" s="41">
        <f t="shared" si="3"/>
        <v>1020.1505006249994</v>
      </c>
      <c r="E97" s="41">
        <f t="shared" si="5"/>
        <v>120412.58427563286</v>
      </c>
    </row>
    <row r="98" spans="3:5">
      <c r="C98" s="41">
        <f t="shared" si="4"/>
        <v>94</v>
      </c>
      <c r="D98" s="41">
        <f t="shared" si="3"/>
        <v>1015.0751249999996</v>
      </c>
      <c r="E98" s="41">
        <f t="shared" si="5"/>
        <v>121427.65940063287</v>
      </c>
    </row>
    <row r="99" spans="3:5">
      <c r="C99" s="41">
        <f t="shared" si="4"/>
        <v>95</v>
      </c>
      <c r="D99" s="41">
        <f>B$5*(1+B$6)^(B$7+1-C99)</f>
        <v>1010.0249999999997</v>
      </c>
      <c r="E99" s="41">
        <f>E98+D99</f>
        <v>122437.68440063286</v>
      </c>
    </row>
    <row r="100" spans="3:5">
      <c r="C100" s="41">
        <f t="shared" si="4"/>
        <v>96</v>
      </c>
      <c r="D100" s="41">
        <f>B$5*(1+B$6)^(B$7+1-C100)</f>
        <v>1004.9999999999999</v>
      </c>
      <c r="E100" s="41">
        <f>E99+D100</f>
        <v>123442.68440063286</v>
      </c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8"/>
  <sheetViews>
    <sheetView workbookViewId="0">
      <selection activeCell="A9" sqref="A9"/>
    </sheetView>
  </sheetViews>
  <sheetFormatPr defaultRowHeight="12.75"/>
  <cols>
    <col min="1" max="1" width="8.7109375" customWidth="1"/>
    <col min="2" max="2" width="8.85546875" customWidth="1"/>
    <col min="3" max="3" width="4.85546875" customWidth="1"/>
  </cols>
  <sheetData>
    <row r="1" spans="1:12" ht="18">
      <c r="A1" s="3" t="s">
        <v>37</v>
      </c>
    </row>
    <row r="2" spans="1:12">
      <c r="A2" s="9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9" t="s">
        <v>186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1" t="s">
        <v>3</v>
      </c>
      <c r="C4" s="1" t="s">
        <v>39</v>
      </c>
      <c r="D4" s="1" t="s">
        <v>6</v>
      </c>
    </row>
    <row r="5" spans="1:12">
      <c r="A5" s="2" t="s">
        <v>0</v>
      </c>
      <c r="B5" s="2">
        <v>1000</v>
      </c>
    </row>
    <row r="6" spans="1:12">
      <c r="A6" s="2" t="s">
        <v>1</v>
      </c>
      <c r="B6" s="2">
        <v>0.1</v>
      </c>
      <c r="C6">
        <v>1</v>
      </c>
      <c r="D6">
        <f t="shared" ref="D6:D37" si="0">IF(B$8&gt;C6,(B$6*B$5)/(1+B$7)^(C6),IF(B$8=C6,(B$6*B$5+B$5)/((1+B$7)^C6),0))</f>
        <v>94.339622641509436</v>
      </c>
      <c r="E6">
        <f>D6</f>
        <v>94.339622641509436</v>
      </c>
    </row>
    <row r="7" spans="1:12">
      <c r="A7" s="2" t="s">
        <v>5</v>
      </c>
      <c r="B7" s="2">
        <v>0.06</v>
      </c>
      <c r="C7">
        <f t="shared" ref="C7:C58" si="1">C6+1</f>
        <v>2</v>
      </c>
      <c r="D7">
        <f t="shared" si="0"/>
        <v>88.999644001423988</v>
      </c>
      <c r="E7">
        <f t="shared" ref="E7:E58" si="2">E6+D7</f>
        <v>183.33926664293341</v>
      </c>
    </row>
    <row r="8" spans="1:12">
      <c r="A8" s="2" t="s">
        <v>2</v>
      </c>
      <c r="B8" s="2">
        <v>30</v>
      </c>
      <c r="C8">
        <f t="shared" si="1"/>
        <v>3</v>
      </c>
      <c r="D8">
        <f t="shared" si="0"/>
        <v>83.961928303230167</v>
      </c>
      <c r="E8">
        <f t="shared" si="2"/>
        <v>267.3011949461636</v>
      </c>
    </row>
    <row r="9" spans="1:12">
      <c r="C9">
        <f t="shared" si="1"/>
        <v>4</v>
      </c>
      <c r="D9">
        <f t="shared" si="0"/>
        <v>79.209366323802044</v>
      </c>
      <c r="E9">
        <f t="shared" si="2"/>
        <v>346.51056126996565</v>
      </c>
    </row>
    <row r="10" spans="1:12">
      <c r="A10" s="8" t="s">
        <v>40</v>
      </c>
      <c r="B10" s="8">
        <f>E58</f>
        <v>1550.5932460595761</v>
      </c>
      <c r="C10">
        <f t="shared" si="1"/>
        <v>5</v>
      </c>
      <c r="D10">
        <f t="shared" si="0"/>
        <v>74.72581728660569</v>
      </c>
      <c r="E10">
        <f t="shared" si="2"/>
        <v>421.23637855657137</v>
      </c>
    </row>
    <row r="11" spans="1:12">
      <c r="A11" s="8" t="s">
        <v>40</v>
      </c>
      <c r="B11" s="8">
        <f>(B6*B5)/B7*((1-1/(1+B7)^B8))+B5/(1+B7)^B8</f>
        <v>1550.5932460595773</v>
      </c>
      <c r="C11">
        <f t="shared" si="1"/>
        <v>6</v>
      </c>
      <c r="D11">
        <f t="shared" si="0"/>
        <v>70.496054043967632</v>
      </c>
      <c r="E11">
        <f t="shared" si="2"/>
        <v>491.73243260053903</v>
      </c>
    </row>
    <row r="12" spans="1:12">
      <c r="C12">
        <f t="shared" si="1"/>
        <v>7</v>
      </c>
      <c r="D12">
        <f t="shared" si="0"/>
        <v>66.505711362233598</v>
      </c>
      <c r="E12">
        <f t="shared" si="2"/>
        <v>558.2381439627726</v>
      </c>
    </row>
    <row r="13" spans="1:12">
      <c r="A13" s="2" t="s">
        <v>41</v>
      </c>
      <c r="B13" s="2"/>
      <c r="C13">
        <f t="shared" si="1"/>
        <v>8</v>
      </c>
      <c r="D13">
        <f t="shared" si="0"/>
        <v>62.741237134182647</v>
      </c>
      <c r="E13">
        <f t="shared" si="2"/>
        <v>620.97938109695519</v>
      </c>
    </row>
    <row r="14" spans="1:12">
      <c r="A14" s="2" t="s">
        <v>42</v>
      </c>
      <c r="B14" s="2"/>
      <c r="C14">
        <f t="shared" si="1"/>
        <v>9</v>
      </c>
      <c r="D14">
        <f t="shared" si="0"/>
        <v>59.189846353002501</v>
      </c>
      <c r="E14">
        <f t="shared" si="2"/>
        <v>680.1692274499577</v>
      </c>
    </row>
    <row r="15" spans="1:12">
      <c r="A15" s="2" t="s">
        <v>43</v>
      </c>
      <c r="B15" s="2"/>
      <c r="C15">
        <f t="shared" si="1"/>
        <v>10</v>
      </c>
      <c r="D15">
        <f t="shared" si="0"/>
        <v>55.839477691511789</v>
      </c>
      <c r="E15">
        <f t="shared" si="2"/>
        <v>736.00870514146948</v>
      </c>
    </row>
    <row r="16" spans="1:12">
      <c r="A16" s="2" t="s">
        <v>44</v>
      </c>
      <c r="B16" s="2"/>
      <c r="C16">
        <f t="shared" si="1"/>
        <v>11</v>
      </c>
      <c r="D16">
        <f t="shared" si="0"/>
        <v>52.678752539162055</v>
      </c>
      <c r="E16">
        <f t="shared" si="2"/>
        <v>788.6874576806315</v>
      </c>
    </row>
    <row r="17" spans="1:5">
      <c r="A17" s="2" t="s">
        <v>45</v>
      </c>
      <c r="B17" s="2"/>
      <c r="C17">
        <f t="shared" si="1"/>
        <v>12</v>
      </c>
      <c r="D17">
        <f t="shared" si="0"/>
        <v>49.696936357700046</v>
      </c>
      <c r="E17">
        <f t="shared" si="2"/>
        <v>838.38439403833149</v>
      </c>
    </row>
    <row r="18" spans="1:5">
      <c r="A18" s="2" t="s">
        <v>46</v>
      </c>
      <c r="B18" s="2"/>
      <c r="C18">
        <f t="shared" si="1"/>
        <v>13</v>
      </c>
      <c r="D18">
        <f t="shared" si="0"/>
        <v>46.883902224245325</v>
      </c>
      <c r="E18">
        <f t="shared" si="2"/>
        <v>885.26829626257677</v>
      </c>
    </row>
    <row r="19" spans="1:5">
      <c r="A19" s="2" t="s">
        <v>47</v>
      </c>
      <c r="B19" s="2"/>
      <c r="C19">
        <f t="shared" si="1"/>
        <v>14</v>
      </c>
      <c r="D19">
        <f t="shared" si="0"/>
        <v>44.230096437967291</v>
      </c>
      <c r="E19">
        <f t="shared" si="2"/>
        <v>929.49839270054406</v>
      </c>
    </row>
    <row r="20" spans="1:5">
      <c r="A20" s="2" t="s">
        <v>48</v>
      </c>
      <c r="B20" s="2"/>
      <c r="C20">
        <f t="shared" si="1"/>
        <v>15</v>
      </c>
      <c r="D20">
        <f t="shared" si="0"/>
        <v>41.726506073554035</v>
      </c>
      <c r="E20">
        <f t="shared" si="2"/>
        <v>971.22489877409805</v>
      </c>
    </row>
    <row r="21" spans="1:5">
      <c r="C21">
        <f t="shared" si="1"/>
        <v>16</v>
      </c>
      <c r="D21">
        <f t="shared" si="0"/>
        <v>39.364628371277405</v>
      </c>
      <c r="E21">
        <f t="shared" si="2"/>
        <v>1010.5895271453754</v>
      </c>
    </row>
    <row r="22" spans="1:5">
      <c r="C22">
        <f t="shared" si="1"/>
        <v>17</v>
      </c>
      <c r="D22">
        <f t="shared" si="0"/>
        <v>37.136441859695658</v>
      </c>
      <c r="E22">
        <f t="shared" si="2"/>
        <v>1047.7259690050712</v>
      </c>
    </row>
    <row r="23" spans="1:5">
      <c r="C23">
        <f t="shared" si="1"/>
        <v>18</v>
      </c>
      <c r="D23">
        <f t="shared" si="0"/>
        <v>35.034379112920433</v>
      </c>
      <c r="E23">
        <f t="shared" si="2"/>
        <v>1082.7603481179917</v>
      </c>
    </row>
    <row r="24" spans="1:5">
      <c r="C24">
        <f t="shared" si="1"/>
        <v>19</v>
      </c>
      <c r="D24">
        <f t="shared" si="0"/>
        <v>33.05130104992493</v>
      </c>
      <c r="E24">
        <f t="shared" si="2"/>
        <v>1115.8116491679166</v>
      </c>
    </row>
    <row r="25" spans="1:5">
      <c r="C25">
        <f t="shared" si="1"/>
        <v>20</v>
      </c>
      <c r="D25">
        <f t="shared" si="0"/>
        <v>31.180472688608429</v>
      </c>
      <c r="E25">
        <f t="shared" si="2"/>
        <v>1146.992121856525</v>
      </c>
    </row>
    <row r="26" spans="1:5">
      <c r="C26">
        <f t="shared" si="1"/>
        <v>21</v>
      </c>
      <c r="D26">
        <f t="shared" si="0"/>
        <v>29.415540272272096</v>
      </c>
      <c r="E26">
        <f t="shared" si="2"/>
        <v>1176.4076621287973</v>
      </c>
    </row>
    <row r="27" spans="1:5">
      <c r="C27">
        <f t="shared" si="1"/>
        <v>22</v>
      </c>
      <c r="D27">
        <f t="shared" si="0"/>
        <v>27.750509690822732</v>
      </c>
      <c r="E27">
        <f t="shared" si="2"/>
        <v>1204.1581718196201</v>
      </c>
    </row>
    <row r="28" spans="1:5">
      <c r="C28">
        <f t="shared" si="1"/>
        <v>23</v>
      </c>
      <c r="D28">
        <f t="shared" si="0"/>
        <v>26.179726123417666</v>
      </c>
      <c r="E28">
        <f t="shared" si="2"/>
        <v>1230.3378979430377</v>
      </c>
    </row>
    <row r="29" spans="1:5">
      <c r="C29">
        <f t="shared" si="1"/>
        <v>24</v>
      </c>
      <c r="D29">
        <f t="shared" si="0"/>
        <v>24.697854833412897</v>
      </c>
      <c r="E29">
        <f t="shared" si="2"/>
        <v>1255.0357527764506</v>
      </c>
    </row>
    <row r="30" spans="1:5">
      <c r="C30">
        <f t="shared" si="1"/>
        <v>25</v>
      </c>
      <c r="D30">
        <f t="shared" si="0"/>
        <v>23.299863050389526</v>
      </c>
      <c r="E30">
        <f t="shared" si="2"/>
        <v>1278.3356158268402</v>
      </c>
    </row>
    <row r="31" spans="1:5">
      <c r="C31">
        <f t="shared" si="1"/>
        <v>26</v>
      </c>
      <c r="D31">
        <f t="shared" si="0"/>
        <v>21.981002877725967</v>
      </c>
      <c r="E31">
        <f t="shared" si="2"/>
        <v>1300.3166187045663</v>
      </c>
    </row>
    <row r="32" spans="1:5">
      <c r="C32">
        <f t="shared" si="1"/>
        <v>27</v>
      </c>
      <c r="D32">
        <f t="shared" si="0"/>
        <v>20.736795167666003</v>
      </c>
      <c r="E32">
        <f t="shared" si="2"/>
        <v>1321.0534138722323</v>
      </c>
    </row>
    <row r="33" spans="3:5">
      <c r="C33">
        <f t="shared" si="1"/>
        <v>28</v>
      </c>
      <c r="D33">
        <f t="shared" si="0"/>
        <v>19.56301430911887</v>
      </c>
      <c r="E33">
        <f t="shared" si="2"/>
        <v>1340.6164281813512</v>
      </c>
    </row>
    <row r="34" spans="3:5">
      <c r="C34">
        <f t="shared" si="1"/>
        <v>29</v>
      </c>
      <c r="D34">
        <f t="shared" si="0"/>
        <v>18.455673876527232</v>
      </c>
      <c r="E34">
        <f t="shared" si="2"/>
        <v>1359.0721020578785</v>
      </c>
    </row>
    <row r="35" spans="3:5">
      <c r="C35">
        <f t="shared" si="1"/>
        <v>30</v>
      </c>
      <c r="D35">
        <f t="shared" si="0"/>
        <v>191.52114400169771</v>
      </c>
      <c r="E35">
        <f t="shared" si="2"/>
        <v>1550.5932460595761</v>
      </c>
    </row>
    <row r="36" spans="3:5">
      <c r="C36">
        <f t="shared" si="1"/>
        <v>31</v>
      </c>
      <c r="D36">
        <f t="shared" si="0"/>
        <v>0</v>
      </c>
      <c r="E36">
        <f t="shared" si="2"/>
        <v>1550.5932460595761</v>
      </c>
    </row>
    <row r="37" spans="3:5">
      <c r="C37">
        <f t="shared" si="1"/>
        <v>32</v>
      </c>
      <c r="D37">
        <f t="shared" si="0"/>
        <v>0</v>
      </c>
      <c r="E37">
        <f t="shared" si="2"/>
        <v>1550.5932460595761</v>
      </c>
    </row>
    <row r="38" spans="3:5">
      <c r="C38">
        <f t="shared" si="1"/>
        <v>33</v>
      </c>
      <c r="D38">
        <f t="shared" ref="D38:D58" si="3">IF(B$8&gt;C38,(B$6*B$5)/(1+B$7)^(C38),IF(B$8=C38,(B$6*B$5+B$5)/((1+B$7)^C38),0))</f>
        <v>0</v>
      </c>
      <c r="E38">
        <f t="shared" si="2"/>
        <v>1550.5932460595761</v>
      </c>
    </row>
    <row r="39" spans="3:5">
      <c r="C39">
        <f t="shared" si="1"/>
        <v>34</v>
      </c>
      <c r="D39">
        <f t="shared" si="3"/>
        <v>0</v>
      </c>
      <c r="E39">
        <f t="shared" si="2"/>
        <v>1550.5932460595761</v>
      </c>
    </row>
    <row r="40" spans="3:5">
      <c r="C40">
        <f t="shared" si="1"/>
        <v>35</v>
      </c>
      <c r="D40">
        <f t="shared" si="3"/>
        <v>0</v>
      </c>
      <c r="E40">
        <f t="shared" si="2"/>
        <v>1550.5932460595761</v>
      </c>
    </row>
    <row r="41" spans="3:5">
      <c r="C41">
        <f t="shared" si="1"/>
        <v>36</v>
      </c>
      <c r="D41">
        <f t="shared" si="3"/>
        <v>0</v>
      </c>
      <c r="E41">
        <f t="shared" si="2"/>
        <v>1550.5932460595761</v>
      </c>
    </row>
    <row r="42" spans="3:5">
      <c r="C42">
        <f t="shared" si="1"/>
        <v>37</v>
      </c>
      <c r="D42">
        <f t="shared" si="3"/>
        <v>0</v>
      </c>
      <c r="E42">
        <f t="shared" si="2"/>
        <v>1550.5932460595761</v>
      </c>
    </row>
    <row r="43" spans="3:5">
      <c r="C43">
        <f t="shared" si="1"/>
        <v>38</v>
      </c>
      <c r="D43">
        <f t="shared" si="3"/>
        <v>0</v>
      </c>
      <c r="E43">
        <f t="shared" si="2"/>
        <v>1550.5932460595761</v>
      </c>
    </row>
    <row r="44" spans="3:5">
      <c r="C44">
        <f t="shared" si="1"/>
        <v>39</v>
      </c>
      <c r="D44">
        <f t="shared" si="3"/>
        <v>0</v>
      </c>
      <c r="E44">
        <f t="shared" si="2"/>
        <v>1550.5932460595761</v>
      </c>
    </row>
    <row r="45" spans="3:5">
      <c r="C45">
        <f t="shared" si="1"/>
        <v>40</v>
      </c>
      <c r="D45">
        <f t="shared" si="3"/>
        <v>0</v>
      </c>
      <c r="E45">
        <f t="shared" si="2"/>
        <v>1550.5932460595761</v>
      </c>
    </row>
    <row r="46" spans="3:5">
      <c r="C46">
        <f t="shared" si="1"/>
        <v>41</v>
      </c>
      <c r="D46">
        <f t="shared" si="3"/>
        <v>0</v>
      </c>
      <c r="E46">
        <f t="shared" si="2"/>
        <v>1550.5932460595761</v>
      </c>
    </row>
    <row r="47" spans="3:5">
      <c r="C47">
        <f t="shared" si="1"/>
        <v>42</v>
      </c>
      <c r="D47">
        <f t="shared" si="3"/>
        <v>0</v>
      </c>
      <c r="E47">
        <f t="shared" si="2"/>
        <v>1550.5932460595761</v>
      </c>
    </row>
    <row r="48" spans="3:5">
      <c r="C48">
        <f t="shared" si="1"/>
        <v>43</v>
      </c>
      <c r="D48">
        <f t="shared" si="3"/>
        <v>0</v>
      </c>
      <c r="E48">
        <f t="shared" si="2"/>
        <v>1550.5932460595761</v>
      </c>
    </row>
    <row r="49" spans="3:5">
      <c r="C49">
        <f t="shared" si="1"/>
        <v>44</v>
      </c>
      <c r="D49">
        <f t="shared" si="3"/>
        <v>0</v>
      </c>
      <c r="E49">
        <f t="shared" si="2"/>
        <v>1550.5932460595761</v>
      </c>
    </row>
    <row r="50" spans="3:5">
      <c r="C50">
        <f t="shared" si="1"/>
        <v>45</v>
      </c>
      <c r="D50">
        <f t="shared" si="3"/>
        <v>0</v>
      </c>
      <c r="E50">
        <f t="shared" si="2"/>
        <v>1550.5932460595761</v>
      </c>
    </row>
    <row r="51" spans="3:5">
      <c r="C51">
        <f t="shared" si="1"/>
        <v>46</v>
      </c>
      <c r="D51">
        <f t="shared" si="3"/>
        <v>0</v>
      </c>
      <c r="E51">
        <f t="shared" si="2"/>
        <v>1550.5932460595761</v>
      </c>
    </row>
    <row r="52" spans="3:5">
      <c r="C52">
        <f t="shared" si="1"/>
        <v>47</v>
      </c>
      <c r="D52">
        <f t="shared" si="3"/>
        <v>0</v>
      </c>
      <c r="E52">
        <f t="shared" si="2"/>
        <v>1550.5932460595761</v>
      </c>
    </row>
    <row r="53" spans="3:5">
      <c r="C53">
        <f t="shared" si="1"/>
        <v>48</v>
      </c>
      <c r="D53">
        <f t="shared" si="3"/>
        <v>0</v>
      </c>
      <c r="E53">
        <f t="shared" si="2"/>
        <v>1550.5932460595761</v>
      </c>
    </row>
    <row r="54" spans="3:5">
      <c r="C54">
        <f t="shared" si="1"/>
        <v>49</v>
      </c>
      <c r="D54">
        <f t="shared" si="3"/>
        <v>0</v>
      </c>
      <c r="E54">
        <f t="shared" si="2"/>
        <v>1550.5932460595761</v>
      </c>
    </row>
    <row r="55" spans="3:5">
      <c r="C55">
        <f t="shared" si="1"/>
        <v>50</v>
      </c>
      <c r="D55">
        <f t="shared" si="3"/>
        <v>0</v>
      </c>
      <c r="E55">
        <f t="shared" si="2"/>
        <v>1550.5932460595761</v>
      </c>
    </row>
    <row r="56" spans="3:5">
      <c r="C56">
        <f t="shared" si="1"/>
        <v>51</v>
      </c>
      <c r="D56">
        <f t="shared" si="3"/>
        <v>0</v>
      </c>
      <c r="E56">
        <f t="shared" si="2"/>
        <v>1550.5932460595761</v>
      </c>
    </row>
    <row r="57" spans="3:5">
      <c r="C57">
        <f t="shared" si="1"/>
        <v>52</v>
      </c>
      <c r="D57">
        <f t="shared" si="3"/>
        <v>0</v>
      </c>
      <c r="E57">
        <f t="shared" si="2"/>
        <v>1550.5932460595761</v>
      </c>
    </row>
    <row r="58" spans="3:5">
      <c r="C58">
        <f t="shared" si="1"/>
        <v>53</v>
      </c>
      <c r="D58">
        <f t="shared" si="3"/>
        <v>0</v>
      </c>
      <c r="E58">
        <f t="shared" si="2"/>
        <v>1550.5932460595761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B12" sqref="B12"/>
    </sheetView>
  </sheetViews>
  <sheetFormatPr defaultRowHeight="12.75"/>
  <cols>
    <col min="1" max="1" width="14.7109375" style="37" customWidth="1"/>
    <col min="2" max="256" width="9.140625" style="37"/>
    <col min="257" max="257" width="14.7109375" style="37" customWidth="1"/>
    <col min="258" max="512" width="9.140625" style="37"/>
    <col min="513" max="513" width="14.7109375" style="37" customWidth="1"/>
    <col min="514" max="768" width="9.140625" style="37"/>
    <col min="769" max="769" width="14.7109375" style="37" customWidth="1"/>
    <col min="770" max="1024" width="9.140625" style="37"/>
    <col min="1025" max="1025" width="14.7109375" style="37" customWidth="1"/>
    <col min="1026" max="1280" width="9.140625" style="37"/>
    <col min="1281" max="1281" width="14.7109375" style="37" customWidth="1"/>
    <col min="1282" max="1536" width="9.140625" style="37"/>
    <col min="1537" max="1537" width="14.7109375" style="37" customWidth="1"/>
    <col min="1538" max="1792" width="9.140625" style="37"/>
    <col min="1793" max="1793" width="14.7109375" style="37" customWidth="1"/>
    <col min="1794" max="2048" width="9.140625" style="37"/>
    <col min="2049" max="2049" width="14.7109375" style="37" customWidth="1"/>
    <col min="2050" max="2304" width="9.140625" style="37"/>
    <col min="2305" max="2305" width="14.7109375" style="37" customWidth="1"/>
    <col min="2306" max="2560" width="9.140625" style="37"/>
    <col min="2561" max="2561" width="14.7109375" style="37" customWidth="1"/>
    <col min="2562" max="2816" width="9.140625" style="37"/>
    <col min="2817" max="2817" width="14.7109375" style="37" customWidth="1"/>
    <col min="2818" max="3072" width="9.140625" style="37"/>
    <col min="3073" max="3073" width="14.7109375" style="37" customWidth="1"/>
    <col min="3074" max="3328" width="9.140625" style="37"/>
    <col min="3329" max="3329" width="14.7109375" style="37" customWidth="1"/>
    <col min="3330" max="3584" width="9.140625" style="37"/>
    <col min="3585" max="3585" width="14.7109375" style="37" customWidth="1"/>
    <col min="3586" max="3840" width="9.140625" style="37"/>
    <col min="3841" max="3841" width="14.7109375" style="37" customWidth="1"/>
    <col min="3842" max="4096" width="9.140625" style="37"/>
    <col min="4097" max="4097" width="14.7109375" style="37" customWidth="1"/>
    <col min="4098" max="4352" width="9.140625" style="37"/>
    <col min="4353" max="4353" width="14.7109375" style="37" customWidth="1"/>
    <col min="4354" max="4608" width="9.140625" style="37"/>
    <col min="4609" max="4609" width="14.7109375" style="37" customWidth="1"/>
    <col min="4610" max="4864" width="9.140625" style="37"/>
    <col min="4865" max="4865" width="14.7109375" style="37" customWidth="1"/>
    <col min="4866" max="5120" width="9.140625" style="37"/>
    <col min="5121" max="5121" width="14.7109375" style="37" customWidth="1"/>
    <col min="5122" max="5376" width="9.140625" style="37"/>
    <col min="5377" max="5377" width="14.7109375" style="37" customWidth="1"/>
    <col min="5378" max="5632" width="9.140625" style="37"/>
    <col min="5633" max="5633" width="14.7109375" style="37" customWidth="1"/>
    <col min="5634" max="5888" width="9.140625" style="37"/>
    <col min="5889" max="5889" width="14.7109375" style="37" customWidth="1"/>
    <col min="5890" max="6144" width="9.140625" style="37"/>
    <col min="6145" max="6145" width="14.7109375" style="37" customWidth="1"/>
    <col min="6146" max="6400" width="9.140625" style="37"/>
    <col min="6401" max="6401" width="14.7109375" style="37" customWidth="1"/>
    <col min="6402" max="6656" width="9.140625" style="37"/>
    <col min="6657" max="6657" width="14.7109375" style="37" customWidth="1"/>
    <col min="6658" max="6912" width="9.140625" style="37"/>
    <col min="6913" max="6913" width="14.7109375" style="37" customWidth="1"/>
    <col min="6914" max="7168" width="9.140625" style="37"/>
    <col min="7169" max="7169" width="14.7109375" style="37" customWidth="1"/>
    <col min="7170" max="7424" width="9.140625" style="37"/>
    <col min="7425" max="7425" width="14.7109375" style="37" customWidth="1"/>
    <col min="7426" max="7680" width="9.140625" style="37"/>
    <col min="7681" max="7681" width="14.7109375" style="37" customWidth="1"/>
    <col min="7682" max="7936" width="9.140625" style="37"/>
    <col min="7937" max="7937" width="14.7109375" style="37" customWidth="1"/>
    <col min="7938" max="8192" width="9.140625" style="37"/>
    <col min="8193" max="8193" width="14.7109375" style="37" customWidth="1"/>
    <col min="8194" max="8448" width="9.140625" style="37"/>
    <col min="8449" max="8449" width="14.7109375" style="37" customWidth="1"/>
    <col min="8450" max="8704" width="9.140625" style="37"/>
    <col min="8705" max="8705" width="14.7109375" style="37" customWidth="1"/>
    <col min="8706" max="8960" width="9.140625" style="37"/>
    <col min="8961" max="8961" width="14.7109375" style="37" customWidth="1"/>
    <col min="8962" max="9216" width="9.140625" style="37"/>
    <col min="9217" max="9217" width="14.7109375" style="37" customWidth="1"/>
    <col min="9218" max="9472" width="9.140625" style="37"/>
    <col min="9473" max="9473" width="14.7109375" style="37" customWidth="1"/>
    <col min="9474" max="9728" width="9.140625" style="37"/>
    <col min="9729" max="9729" width="14.7109375" style="37" customWidth="1"/>
    <col min="9730" max="9984" width="9.140625" style="37"/>
    <col min="9985" max="9985" width="14.7109375" style="37" customWidth="1"/>
    <col min="9986" max="10240" width="9.140625" style="37"/>
    <col min="10241" max="10241" width="14.7109375" style="37" customWidth="1"/>
    <col min="10242" max="10496" width="9.140625" style="37"/>
    <col min="10497" max="10497" width="14.7109375" style="37" customWidth="1"/>
    <col min="10498" max="10752" width="9.140625" style="37"/>
    <col min="10753" max="10753" width="14.7109375" style="37" customWidth="1"/>
    <col min="10754" max="11008" width="9.140625" style="37"/>
    <col min="11009" max="11009" width="14.7109375" style="37" customWidth="1"/>
    <col min="11010" max="11264" width="9.140625" style="37"/>
    <col min="11265" max="11265" width="14.7109375" style="37" customWidth="1"/>
    <col min="11266" max="11520" width="9.140625" style="37"/>
    <col min="11521" max="11521" width="14.7109375" style="37" customWidth="1"/>
    <col min="11522" max="11776" width="9.140625" style="37"/>
    <col min="11777" max="11777" width="14.7109375" style="37" customWidth="1"/>
    <col min="11778" max="12032" width="9.140625" style="37"/>
    <col min="12033" max="12033" width="14.7109375" style="37" customWidth="1"/>
    <col min="12034" max="12288" width="9.140625" style="37"/>
    <col min="12289" max="12289" width="14.7109375" style="37" customWidth="1"/>
    <col min="12290" max="12544" width="9.140625" style="37"/>
    <col min="12545" max="12545" width="14.7109375" style="37" customWidth="1"/>
    <col min="12546" max="12800" width="9.140625" style="37"/>
    <col min="12801" max="12801" width="14.7109375" style="37" customWidth="1"/>
    <col min="12802" max="13056" width="9.140625" style="37"/>
    <col min="13057" max="13057" width="14.7109375" style="37" customWidth="1"/>
    <col min="13058" max="13312" width="9.140625" style="37"/>
    <col min="13313" max="13313" width="14.7109375" style="37" customWidth="1"/>
    <col min="13314" max="13568" width="9.140625" style="37"/>
    <col min="13569" max="13569" width="14.7109375" style="37" customWidth="1"/>
    <col min="13570" max="13824" width="9.140625" style="37"/>
    <col min="13825" max="13825" width="14.7109375" style="37" customWidth="1"/>
    <col min="13826" max="14080" width="9.140625" style="37"/>
    <col min="14081" max="14081" width="14.7109375" style="37" customWidth="1"/>
    <col min="14082" max="14336" width="9.140625" style="37"/>
    <col min="14337" max="14337" width="14.7109375" style="37" customWidth="1"/>
    <col min="14338" max="14592" width="9.140625" style="37"/>
    <col min="14593" max="14593" width="14.7109375" style="37" customWidth="1"/>
    <col min="14594" max="14848" width="9.140625" style="37"/>
    <col min="14849" max="14849" width="14.7109375" style="37" customWidth="1"/>
    <col min="14850" max="15104" width="9.140625" style="37"/>
    <col min="15105" max="15105" width="14.7109375" style="37" customWidth="1"/>
    <col min="15106" max="15360" width="9.140625" style="37"/>
    <col min="15361" max="15361" width="14.7109375" style="37" customWidth="1"/>
    <col min="15362" max="15616" width="9.140625" style="37"/>
    <col min="15617" max="15617" width="14.7109375" style="37" customWidth="1"/>
    <col min="15618" max="15872" width="9.140625" style="37"/>
    <col min="15873" max="15873" width="14.7109375" style="37" customWidth="1"/>
    <col min="15874" max="16128" width="9.140625" style="37"/>
    <col min="16129" max="16129" width="14.7109375" style="37" customWidth="1"/>
    <col min="16130" max="16384" width="9.140625" style="37"/>
  </cols>
  <sheetData>
    <row r="1" spans="1:8" ht="18">
      <c r="A1" s="42" t="s">
        <v>269</v>
      </c>
    </row>
    <row r="2" spans="1:8">
      <c r="A2" s="41" t="s">
        <v>270</v>
      </c>
      <c r="B2" s="41"/>
      <c r="C2" s="41"/>
      <c r="D2" s="41"/>
      <c r="E2" s="41"/>
      <c r="F2" s="41"/>
      <c r="G2" s="41"/>
      <c r="H2" s="41"/>
    </row>
    <row r="3" spans="1:8">
      <c r="A3" s="41" t="s">
        <v>271</v>
      </c>
      <c r="B3" s="41"/>
      <c r="C3" s="41"/>
      <c r="D3" s="41"/>
      <c r="E3" s="41"/>
      <c r="F3" s="41"/>
      <c r="G3" s="41"/>
      <c r="H3" s="41"/>
    </row>
    <row r="4" spans="1:8">
      <c r="A4" s="41" t="s">
        <v>272</v>
      </c>
      <c r="B4" s="41"/>
      <c r="C4" s="41"/>
      <c r="D4" s="41"/>
      <c r="E4" s="41"/>
      <c r="F4" s="41"/>
      <c r="G4" s="41"/>
      <c r="H4" s="41"/>
    </row>
    <row r="5" spans="1:8">
      <c r="A5" s="41" t="s">
        <v>273</v>
      </c>
    </row>
    <row r="6" spans="1:8">
      <c r="A6" s="41"/>
    </row>
    <row r="7" spans="1:8">
      <c r="A7" s="41" t="s">
        <v>274</v>
      </c>
      <c r="B7" s="38">
        <v>1000000</v>
      </c>
    </row>
    <row r="8" spans="1:8">
      <c r="A8" s="41" t="s">
        <v>275</v>
      </c>
      <c r="B8" s="37">
        <v>50</v>
      </c>
    </row>
    <row r="9" spans="1:8">
      <c r="A9" s="41" t="s">
        <v>276</v>
      </c>
      <c r="B9" s="37">
        <f>B7/B8</f>
        <v>20000</v>
      </c>
    </row>
    <row r="10" spans="1:8">
      <c r="A10" s="41" t="s">
        <v>277</v>
      </c>
      <c r="B10" s="37">
        <v>0.05</v>
      </c>
    </row>
    <row r="11" spans="1:8">
      <c r="A11" s="41"/>
    </row>
    <row r="12" spans="1:8">
      <c r="A12" s="41" t="s">
        <v>278</v>
      </c>
      <c r="B12" s="39">
        <f>(B9)/B10*((1-1/(1+B10)^B8))</f>
        <v>365118.50921104779</v>
      </c>
    </row>
    <row r="13" spans="1:8">
      <c r="A13" s="41"/>
    </row>
    <row r="14" spans="1:8">
      <c r="A14" s="41" t="s">
        <v>279</v>
      </c>
      <c r="B14" s="41"/>
      <c r="C14" s="41"/>
      <c r="D14" s="41"/>
      <c r="E14" s="41"/>
      <c r="F14" s="41"/>
      <c r="G14" s="41"/>
    </row>
    <row r="15" spans="1:8">
      <c r="A15" s="41" t="s">
        <v>280</v>
      </c>
      <c r="B15" s="41"/>
      <c r="C15" s="41"/>
      <c r="D15" s="41"/>
      <c r="E15" s="41"/>
      <c r="F15" s="41"/>
      <c r="G15" s="41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7"/>
  <sheetViews>
    <sheetView workbookViewId="0"/>
  </sheetViews>
  <sheetFormatPr defaultRowHeight="12.75"/>
  <cols>
    <col min="1" max="1" width="10.7109375" style="37" customWidth="1"/>
    <col min="2" max="2" width="10.5703125" style="37" customWidth="1"/>
    <col min="3" max="3" width="9.28515625" style="37" customWidth="1"/>
    <col min="4" max="256" width="9.140625" style="37"/>
    <col min="257" max="257" width="10.7109375" style="37" customWidth="1"/>
    <col min="258" max="258" width="10.5703125" style="37" customWidth="1"/>
    <col min="259" max="259" width="9.28515625" style="37" customWidth="1"/>
    <col min="260" max="512" width="9.140625" style="37"/>
    <col min="513" max="513" width="10.7109375" style="37" customWidth="1"/>
    <col min="514" max="514" width="10.5703125" style="37" customWidth="1"/>
    <col min="515" max="515" width="9.28515625" style="37" customWidth="1"/>
    <col min="516" max="768" width="9.140625" style="37"/>
    <col min="769" max="769" width="10.7109375" style="37" customWidth="1"/>
    <col min="770" max="770" width="10.5703125" style="37" customWidth="1"/>
    <col min="771" max="771" width="9.28515625" style="37" customWidth="1"/>
    <col min="772" max="1024" width="9.140625" style="37"/>
    <col min="1025" max="1025" width="10.7109375" style="37" customWidth="1"/>
    <col min="1026" max="1026" width="10.5703125" style="37" customWidth="1"/>
    <col min="1027" max="1027" width="9.28515625" style="37" customWidth="1"/>
    <col min="1028" max="1280" width="9.140625" style="37"/>
    <col min="1281" max="1281" width="10.7109375" style="37" customWidth="1"/>
    <col min="1282" max="1282" width="10.5703125" style="37" customWidth="1"/>
    <col min="1283" max="1283" width="9.28515625" style="37" customWidth="1"/>
    <col min="1284" max="1536" width="9.140625" style="37"/>
    <col min="1537" max="1537" width="10.7109375" style="37" customWidth="1"/>
    <col min="1538" max="1538" width="10.5703125" style="37" customWidth="1"/>
    <col min="1539" max="1539" width="9.28515625" style="37" customWidth="1"/>
    <col min="1540" max="1792" width="9.140625" style="37"/>
    <col min="1793" max="1793" width="10.7109375" style="37" customWidth="1"/>
    <col min="1794" max="1794" width="10.5703125" style="37" customWidth="1"/>
    <col min="1795" max="1795" width="9.28515625" style="37" customWidth="1"/>
    <col min="1796" max="2048" width="9.140625" style="37"/>
    <col min="2049" max="2049" width="10.7109375" style="37" customWidth="1"/>
    <col min="2050" max="2050" width="10.5703125" style="37" customWidth="1"/>
    <col min="2051" max="2051" width="9.28515625" style="37" customWidth="1"/>
    <col min="2052" max="2304" width="9.140625" style="37"/>
    <col min="2305" max="2305" width="10.7109375" style="37" customWidth="1"/>
    <col min="2306" max="2306" width="10.5703125" style="37" customWidth="1"/>
    <col min="2307" max="2307" width="9.28515625" style="37" customWidth="1"/>
    <col min="2308" max="2560" width="9.140625" style="37"/>
    <col min="2561" max="2561" width="10.7109375" style="37" customWidth="1"/>
    <col min="2562" max="2562" width="10.5703125" style="37" customWidth="1"/>
    <col min="2563" max="2563" width="9.28515625" style="37" customWidth="1"/>
    <col min="2564" max="2816" width="9.140625" style="37"/>
    <col min="2817" max="2817" width="10.7109375" style="37" customWidth="1"/>
    <col min="2818" max="2818" width="10.5703125" style="37" customWidth="1"/>
    <col min="2819" max="2819" width="9.28515625" style="37" customWidth="1"/>
    <col min="2820" max="3072" width="9.140625" style="37"/>
    <col min="3073" max="3073" width="10.7109375" style="37" customWidth="1"/>
    <col min="3074" max="3074" width="10.5703125" style="37" customWidth="1"/>
    <col min="3075" max="3075" width="9.28515625" style="37" customWidth="1"/>
    <col min="3076" max="3328" width="9.140625" style="37"/>
    <col min="3329" max="3329" width="10.7109375" style="37" customWidth="1"/>
    <col min="3330" max="3330" width="10.5703125" style="37" customWidth="1"/>
    <col min="3331" max="3331" width="9.28515625" style="37" customWidth="1"/>
    <col min="3332" max="3584" width="9.140625" style="37"/>
    <col min="3585" max="3585" width="10.7109375" style="37" customWidth="1"/>
    <col min="3586" max="3586" width="10.5703125" style="37" customWidth="1"/>
    <col min="3587" max="3587" width="9.28515625" style="37" customWidth="1"/>
    <col min="3588" max="3840" width="9.140625" style="37"/>
    <col min="3841" max="3841" width="10.7109375" style="37" customWidth="1"/>
    <col min="3842" max="3842" width="10.5703125" style="37" customWidth="1"/>
    <col min="3843" max="3843" width="9.28515625" style="37" customWidth="1"/>
    <col min="3844" max="4096" width="9.140625" style="37"/>
    <col min="4097" max="4097" width="10.7109375" style="37" customWidth="1"/>
    <col min="4098" max="4098" width="10.5703125" style="37" customWidth="1"/>
    <col min="4099" max="4099" width="9.28515625" style="37" customWidth="1"/>
    <col min="4100" max="4352" width="9.140625" style="37"/>
    <col min="4353" max="4353" width="10.7109375" style="37" customWidth="1"/>
    <col min="4354" max="4354" width="10.5703125" style="37" customWidth="1"/>
    <col min="4355" max="4355" width="9.28515625" style="37" customWidth="1"/>
    <col min="4356" max="4608" width="9.140625" style="37"/>
    <col min="4609" max="4609" width="10.7109375" style="37" customWidth="1"/>
    <col min="4610" max="4610" width="10.5703125" style="37" customWidth="1"/>
    <col min="4611" max="4611" width="9.28515625" style="37" customWidth="1"/>
    <col min="4612" max="4864" width="9.140625" style="37"/>
    <col min="4865" max="4865" width="10.7109375" style="37" customWidth="1"/>
    <col min="4866" max="4866" width="10.5703125" style="37" customWidth="1"/>
    <col min="4867" max="4867" width="9.28515625" style="37" customWidth="1"/>
    <col min="4868" max="5120" width="9.140625" style="37"/>
    <col min="5121" max="5121" width="10.7109375" style="37" customWidth="1"/>
    <col min="5122" max="5122" width="10.5703125" style="37" customWidth="1"/>
    <col min="5123" max="5123" width="9.28515625" style="37" customWidth="1"/>
    <col min="5124" max="5376" width="9.140625" style="37"/>
    <col min="5377" max="5377" width="10.7109375" style="37" customWidth="1"/>
    <col min="5378" max="5378" width="10.5703125" style="37" customWidth="1"/>
    <col min="5379" max="5379" width="9.28515625" style="37" customWidth="1"/>
    <col min="5380" max="5632" width="9.140625" style="37"/>
    <col min="5633" max="5633" width="10.7109375" style="37" customWidth="1"/>
    <col min="5634" max="5634" width="10.5703125" style="37" customWidth="1"/>
    <col min="5635" max="5635" width="9.28515625" style="37" customWidth="1"/>
    <col min="5636" max="5888" width="9.140625" style="37"/>
    <col min="5889" max="5889" width="10.7109375" style="37" customWidth="1"/>
    <col min="5890" max="5890" width="10.5703125" style="37" customWidth="1"/>
    <col min="5891" max="5891" width="9.28515625" style="37" customWidth="1"/>
    <col min="5892" max="6144" width="9.140625" style="37"/>
    <col min="6145" max="6145" width="10.7109375" style="37" customWidth="1"/>
    <col min="6146" max="6146" width="10.5703125" style="37" customWidth="1"/>
    <col min="6147" max="6147" width="9.28515625" style="37" customWidth="1"/>
    <col min="6148" max="6400" width="9.140625" style="37"/>
    <col min="6401" max="6401" width="10.7109375" style="37" customWidth="1"/>
    <col min="6402" max="6402" width="10.5703125" style="37" customWidth="1"/>
    <col min="6403" max="6403" width="9.28515625" style="37" customWidth="1"/>
    <col min="6404" max="6656" width="9.140625" style="37"/>
    <col min="6657" max="6657" width="10.7109375" style="37" customWidth="1"/>
    <col min="6658" max="6658" width="10.5703125" style="37" customWidth="1"/>
    <col min="6659" max="6659" width="9.28515625" style="37" customWidth="1"/>
    <col min="6660" max="6912" width="9.140625" style="37"/>
    <col min="6913" max="6913" width="10.7109375" style="37" customWidth="1"/>
    <col min="6914" max="6914" width="10.5703125" style="37" customWidth="1"/>
    <col min="6915" max="6915" width="9.28515625" style="37" customWidth="1"/>
    <col min="6916" max="7168" width="9.140625" style="37"/>
    <col min="7169" max="7169" width="10.7109375" style="37" customWidth="1"/>
    <col min="7170" max="7170" width="10.5703125" style="37" customWidth="1"/>
    <col min="7171" max="7171" width="9.28515625" style="37" customWidth="1"/>
    <col min="7172" max="7424" width="9.140625" style="37"/>
    <col min="7425" max="7425" width="10.7109375" style="37" customWidth="1"/>
    <col min="7426" max="7426" width="10.5703125" style="37" customWidth="1"/>
    <col min="7427" max="7427" width="9.28515625" style="37" customWidth="1"/>
    <col min="7428" max="7680" width="9.140625" style="37"/>
    <col min="7681" max="7681" width="10.7109375" style="37" customWidth="1"/>
    <col min="7682" max="7682" width="10.5703125" style="37" customWidth="1"/>
    <col min="7683" max="7683" width="9.28515625" style="37" customWidth="1"/>
    <col min="7684" max="7936" width="9.140625" style="37"/>
    <col min="7937" max="7937" width="10.7109375" style="37" customWidth="1"/>
    <col min="7938" max="7938" width="10.5703125" style="37" customWidth="1"/>
    <col min="7939" max="7939" width="9.28515625" style="37" customWidth="1"/>
    <col min="7940" max="8192" width="9.140625" style="37"/>
    <col min="8193" max="8193" width="10.7109375" style="37" customWidth="1"/>
    <col min="8194" max="8194" width="10.5703125" style="37" customWidth="1"/>
    <col min="8195" max="8195" width="9.28515625" style="37" customWidth="1"/>
    <col min="8196" max="8448" width="9.140625" style="37"/>
    <col min="8449" max="8449" width="10.7109375" style="37" customWidth="1"/>
    <col min="8450" max="8450" width="10.5703125" style="37" customWidth="1"/>
    <col min="8451" max="8451" width="9.28515625" style="37" customWidth="1"/>
    <col min="8452" max="8704" width="9.140625" style="37"/>
    <col min="8705" max="8705" width="10.7109375" style="37" customWidth="1"/>
    <col min="8706" max="8706" width="10.5703125" style="37" customWidth="1"/>
    <col min="8707" max="8707" width="9.28515625" style="37" customWidth="1"/>
    <col min="8708" max="8960" width="9.140625" style="37"/>
    <col min="8961" max="8961" width="10.7109375" style="37" customWidth="1"/>
    <col min="8962" max="8962" width="10.5703125" style="37" customWidth="1"/>
    <col min="8963" max="8963" width="9.28515625" style="37" customWidth="1"/>
    <col min="8964" max="9216" width="9.140625" style="37"/>
    <col min="9217" max="9217" width="10.7109375" style="37" customWidth="1"/>
    <col min="9218" max="9218" width="10.5703125" style="37" customWidth="1"/>
    <col min="9219" max="9219" width="9.28515625" style="37" customWidth="1"/>
    <col min="9220" max="9472" width="9.140625" style="37"/>
    <col min="9473" max="9473" width="10.7109375" style="37" customWidth="1"/>
    <col min="9474" max="9474" width="10.5703125" style="37" customWidth="1"/>
    <col min="9475" max="9475" width="9.28515625" style="37" customWidth="1"/>
    <col min="9476" max="9728" width="9.140625" style="37"/>
    <col min="9729" max="9729" width="10.7109375" style="37" customWidth="1"/>
    <col min="9730" max="9730" width="10.5703125" style="37" customWidth="1"/>
    <col min="9731" max="9731" width="9.28515625" style="37" customWidth="1"/>
    <col min="9732" max="9984" width="9.140625" style="37"/>
    <col min="9985" max="9985" width="10.7109375" style="37" customWidth="1"/>
    <col min="9986" max="9986" width="10.5703125" style="37" customWidth="1"/>
    <col min="9987" max="9987" width="9.28515625" style="37" customWidth="1"/>
    <col min="9988" max="10240" width="9.140625" style="37"/>
    <col min="10241" max="10241" width="10.7109375" style="37" customWidth="1"/>
    <col min="10242" max="10242" width="10.5703125" style="37" customWidth="1"/>
    <col min="10243" max="10243" width="9.28515625" style="37" customWidth="1"/>
    <col min="10244" max="10496" width="9.140625" style="37"/>
    <col min="10497" max="10497" width="10.7109375" style="37" customWidth="1"/>
    <col min="10498" max="10498" width="10.5703125" style="37" customWidth="1"/>
    <col min="10499" max="10499" width="9.28515625" style="37" customWidth="1"/>
    <col min="10500" max="10752" width="9.140625" style="37"/>
    <col min="10753" max="10753" width="10.7109375" style="37" customWidth="1"/>
    <col min="10754" max="10754" width="10.5703125" style="37" customWidth="1"/>
    <col min="10755" max="10755" width="9.28515625" style="37" customWidth="1"/>
    <col min="10756" max="11008" width="9.140625" style="37"/>
    <col min="11009" max="11009" width="10.7109375" style="37" customWidth="1"/>
    <col min="11010" max="11010" width="10.5703125" style="37" customWidth="1"/>
    <col min="11011" max="11011" width="9.28515625" style="37" customWidth="1"/>
    <col min="11012" max="11264" width="9.140625" style="37"/>
    <col min="11265" max="11265" width="10.7109375" style="37" customWidth="1"/>
    <col min="11266" max="11266" width="10.5703125" style="37" customWidth="1"/>
    <col min="11267" max="11267" width="9.28515625" style="37" customWidth="1"/>
    <col min="11268" max="11520" width="9.140625" style="37"/>
    <col min="11521" max="11521" width="10.7109375" style="37" customWidth="1"/>
    <col min="11522" max="11522" width="10.5703125" style="37" customWidth="1"/>
    <col min="11523" max="11523" width="9.28515625" style="37" customWidth="1"/>
    <col min="11524" max="11776" width="9.140625" style="37"/>
    <col min="11777" max="11777" width="10.7109375" style="37" customWidth="1"/>
    <col min="11778" max="11778" width="10.5703125" style="37" customWidth="1"/>
    <col min="11779" max="11779" width="9.28515625" style="37" customWidth="1"/>
    <col min="11780" max="12032" width="9.140625" style="37"/>
    <col min="12033" max="12033" width="10.7109375" style="37" customWidth="1"/>
    <col min="12034" max="12034" width="10.5703125" style="37" customWidth="1"/>
    <col min="12035" max="12035" width="9.28515625" style="37" customWidth="1"/>
    <col min="12036" max="12288" width="9.140625" style="37"/>
    <col min="12289" max="12289" width="10.7109375" style="37" customWidth="1"/>
    <col min="12290" max="12290" width="10.5703125" style="37" customWidth="1"/>
    <col min="12291" max="12291" width="9.28515625" style="37" customWidth="1"/>
    <col min="12292" max="12544" width="9.140625" style="37"/>
    <col min="12545" max="12545" width="10.7109375" style="37" customWidth="1"/>
    <col min="12546" max="12546" width="10.5703125" style="37" customWidth="1"/>
    <col min="12547" max="12547" width="9.28515625" style="37" customWidth="1"/>
    <col min="12548" max="12800" width="9.140625" style="37"/>
    <col min="12801" max="12801" width="10.7109375" style="37" customWidth="1"/>
    <col min="12802" max="12802" width="10.5703125" style="37" customWidth="1"/>
    <col min="12803" max="12803" width="9.28515625" style="37" customWidth="1"/>
    <col min="12804" max="13056" width="9.140625" style="37"/>
    <col min="13057" max="13057" width="10.7109375" style="37" customWidth="1"/>
    <col min="13058" max="13058" width="10.5703125" style="37" customWidth="1"/>
    <col min="13059" max="13059" width="9.28515625" style="37" customWidth="1"/>
    <col min="13060" max="13312" width="9.140625" style="37"/>
    <col min="13313" max="13313" width="10.7109375" style="37" customWidth="1"/>
    <col min="13314" max="13314" width="10.5703125" style="37" customWidth="1"/>
    <col min="13315" max="13315" width="9.28515625" style="37" customWidth="1"/>
    <col min="13316" max="13568" width="9.140625" style="37"/>
    <col min="13569" max="13569" width="10.7109375" style="37" customWidth="1"/>
    <col min="13570" max="13570" width="10.5703125" style="37" customWidth="1"/>
    <col min="13571" max="13571" width="9.28515625" style="37" customWidth="1"/>
    <col min="13572" max="13824" width="9.140625" style="37"/>
    <col min="13825" max="13825" width="10.7109375" style="37" customWidth="1"/>
    <col min="13826" max="13826" width="10.5703125" style="37" customWidth="1"/>
    <col min="13827" max="13827" width="9.28515625" style="37" customWidth="1"/>
    <col min="13828" max="14080" width="9.140625" style="37"/>
    <col min="14081" max="14081" width="10.7109375" style="37" customWidth="1"/>
    <col min="14082" max="14082" width="10.5703125" style="37" customWidth="1"/>
    <col min="14083" max="14083" width="9.28515625" style="37" customWidth="1"/>
    <col min="14084" max="14336" width="9.140625" style="37"/>
    <col min="14337" max="14337" width="10.7109375" style="37" customWidth="1"/>
    <col min="14338" max="14338" width="10.5703125" style="37" customWidth="1"/>
    <col min="14339" max="14339" width="9.28515625" style="37" customWidth="1"/>
    <col min="14340" max="14592" width="9.140625" style="37"/>
    <col min="14593" max="14593" width="10.7109375" style="37" customWidth="1"/>
    <col min="14594" max="14594" width="10.5703125" style="37" customWidth="1"/>
    <col min="14595" max="14595" width="9.28515625" style="37" customWidth="1"/>
    <col min="14596" max="14848" width="9.140625" style="37"/>
    <col min="14849" max="14849" width="10.7109375" style="37" customWidth="1"/>
    <col min="14850" max="14850" width="10.5703125" style="37" customWidth="1"/>
    <col min="14851" max="14851" width="9.28515625" style="37" customWidth="1"/>
    <col min="14852" max="15104" width="9.140625" style="37"/>
    <col min="15105" max="15105" width="10.7109375" style="37" customWidth="1"/>
    <col min="15106" max="15106" width="10.5703125" style="37" customWidth="1"/>
    <col min="15107" max="15107" width="9.28515625" style="37" customWidth="1"/>
    <col min="15108" max="15360" width="9.140625" style="37"/>
    <col min="15361" max="15361" width="10.7109375" style="37" customWidth="1"/>
    <col min="15362" max="15362" width="10.5703125" style="37" customWidth="1"/>
    <col min="15363" max="15363" width="9.28515625" style="37" customWidth="1"/>
    <col min="15364" max="15616" width="9.140625" style="37"/>
    <col min="15617" max="15617" width="10.7109375" style="37" customWidth="1"/>
    <col min="15618" max="15618" width="10.5703125" style="37" customWidth="1"/>
    <col min="15619" max="15619" width="9.28515625" style="37" customWidth="1"/>
    <col min="15620" max="15872" width="9.140625" style="37"/>
    <col min="15873" max="15873" width="10.7109375" style="37" customWidth="1"/>
    <col min="15874" max="15874" width="10.5703125" style="37" customWidth="1"/>
    <col min="15875" max="15875" width="9.28515625" style="37" customWidth="1"/>
    <col min="15876" max="16128" width="9.140625" style="37"/>
    <col min="16129" max="16129" width="10.7109375" style="37" customWidth="1"/>
    <col min="16130" max="16130" width="10.5703125" style="37" customWidth="1"/>
    <col min="16131" max="16131" width="9.28515625" style="37" customWidth="1"/>
    <col min="16132" max="16384" width="9.140625" style="37"/>
  </cols>
  <sheetData>
    <row r="1" spans="1:9" ht="18">
      <c r="A1" s="42" t="s">
        <v>281</v>
      </c>
    </row>
    <row r="2" spans="1:9">
      <c r="A2" s="41" t="s">
        <v>282</v>
      </c>
      <c r="B2" s="41"/>
      <c r="C2" s="41"/>
      <c r="D2" s="41"/>
      <c r="E2" s="41"/>
      <c r="F2" s="41"/>
      <c r="G2" s="41"/>
      <c r="H2" s="41"/>
    </row>
    <row r="3" spans="1:9">
      <c r="A3" s="41" t="s">
        <v>283</v>
      </c>
      <c r="B3" s="41"/>
      <c r="C3" s="41"/>
      <c r="D3" s="41"/>
      <c r="E3" s="41"/>
      <c r="F3" s="41"/>
      <c r="G3" s="41"/>
      <c r="H3" s="41"/>
    </row>
    <row r="4" spans="1:9">
      <c r="A4" s="41" t="s">
        <v>284</v>
      </c>
      <c r="B4" s="41"/>
      <c r="C4" s="41"/>
      <c r="D4" s="41"/>
      <c r="E4" s="41"/>
      <c r="F4" s="41"/>
      <c r="G4" s="41"/>
      <c r="H4" s="41"/>
    </row>
    <row r="5" spans="1:9">
      <c r="A5" s="41"/>
      <c r="B5" s="41"/>
      <c r="C5" s="41"/>
      <c r="D5" s="41"/>
      <c r="E5" s="41"/>
      <c r="F5" s="41"/>
      <c r="G5" s="41"/>
      <c r="H5" s="41"/>
    </row>
    <row r="6" spans="1:9">
      <c r="A6" s="41" t="s">
        <v>285</v>
      </c>
      <c r="B6" s="41"/>
      <c r="C6" s="41"/>
      <c r="D6" s="41"/>
      <c r="E6" s="41"/>
      <c r="F6" s="41"/>
      <c r="G6" s="41"/>
      <c r="H6" s="41"/>
    </row>
    <row r="7" spans="1:9">
      <c r="A7" s="41" t="s">
        <v>286</v>
      </c>
      <c r="B7" s="41"/>
      <c r="C7" s="41"/>
      <c r="D7" s="41"/>
      <c r="E7" s="41"/>
      <c r="F7" s="41"/>
      <c r="G7" s="41"/>
      <c r="H7" s="41"/>
    </row>
    <row r="9" spans="1:9" ht="18">
      <c r="A9" s="42" t="s">
        <v>287</v>
      </c>
    </row>
    <row r="10" spans="1:9">
      <c r="A10" s="43" t="s">
        <v>25</v>
      </c>
      <c r="G10" s="36" t="s">
        <v>288</v>
      </c>
    </row>
    <row r="11" spans="1:9">
      <c r="A11" s="41" t="s">
        <v>289</v>
      </c>
      <c r="B11" s="37">
        <v>240000</v>
      </c>
      <c r="G11" s="41" t="s">
        <v>290</v>
      </c>
      <c r="H11" s="41"/>
      <c r="I11" s="41">
        <f>B11/(1/B12-1/(B12*(1+B12)^B13))</f>
        <v>22654.302178381371</v>
      </c>
    </row>
    <row r="12" spans="1:9">
      <c r="A12" s="41" t="s">
        <v>291</v>
      </c>
      <c r="B12" s="37">
        <v>7.0000000000000007E-2</v>
      </c>
    </row>
    <row r="13" spans="1:9">
      <c r="A13" s="41" t="s">
        <v>292</v>
      </c>
      <c r="B13" s="37">
        <v>20</v>
      </c>
    </row>
    <row r="15" spans="1:9" ht="15.75">
      <c r="A15" s="44" t="s">
        <v>293</v>
      </c>
      <c r="B15" s="41"/>
      <c r="C15" s="41"/>
      <c r="D15" s="41"/>
      <c r="E15" s="41"/>
      <c r="F15" s="41"/>
    </row>
    <row r="16" spans="1:9">
      <c r="A16" s="43" t="s">
        <v>294</v>
      </c>
      <c r="B16" s="43" t="s">
        <v>289</v>
      </c>
      <c r="C16" s="43" t="s">
        <v>295</v>
      </c>
      <c r="D16" s="43" t="s">
        <v>296</v>
      </c>
      <c r="E16" s="43" t="s">
        <v>297</v>
      </c>
      <c r="F16" s="43"/>
      <c r="G16" s="36"/>
      <c r="H16" s="36"/>
    </row>
    <row r="17" spans="1:5">
      <c r="A17" s="41">
        <v>1</v>
      </c>
      <c r="B17" s="41">
        <f>B11</f>
        <v>240000</v>
      </c>
      <c r="C17" s="41">
        <f>I$11</f>
        <v>22654.302178381371</v>
      </c>
      <c r="D17" s="41">
        <f>B$12*B17</f>
        <v>16800</v>
      </c>
      <c r="E17" s="41">
        <f t="shared" ref="E17:E36" si="0">C17-D17</f>
        <v>5854.302178381371</v>
      </c>
    </row>
    <row r="18" spans="1:5">
      <c r="A18" s="41">
        <f t="shared" ref="A18:A36" si="1">A17+1</f>
        <v>2</v>
      </c>
      <c r="B18" s="41">
        <f t="shared" ref="B18:B36" si="2">B17-E17</f>
        <v>234145.69782161864</v>
      </c>
      <c r="C18" s="41">
        <f t="shared" ref="C18:C36" si="3">I$11</f>
        <v>22654.302178381371</v>
      </c>
      <c r="D18" s="41">
        <f t="shared" ref="D18:D36" si="4">B$12*B18</f>
        <v>16390.198847513308</v>
      </c>
      <c r="E18" s="41">
        <f t="shared" si="0"/>
        <v>6264.1033308680635</v>
      </c>
    </row>
    <row r="19" spans="1:5">
      <c r="A19" s="41">
        <f t="shared" si="1"/>
        <v>3</v>
      </c>
      <c r="B19" s="41">
        <f t="shared" si="2"/>
        <v>227881.59449075058</v>
      </c>
      <c r="C19" s="41">
        <f t="shared" si="3"/>
        <v>22654.302178381371</v>
      </c>
      <c r="D19" s="41">
        <f t="shared" si="4"/>
        <v>15951.711614352542</v>
      </c>
      <c r="E19" s="41">
        <f t="shared" si="0"/>
        <v>6702.5905640288292</v>
      </c>
    </row>
    <row r="20" spans="1:5">
      <c r="A20" s="41">
        <f t="shared" si="1"/>
        <v>4</v>
      </c>
      <c r="B20" s="41">
        <f t="shared" si="2"/>
        <v>221179.00392672175</v>
      </c>
      <c r="C20" s="41">
        <f t="shared" si="3"/>
        <v>22654.302178381371</v>
      </c>
      <c r="D20" s="41">
        <f t="shared" si="4"/>
        <v>15482.530274870523</v>
      </c>
      <c r="E20" s="41">
        <f t="shared" si="0"/>
        <v>7171.7719035108476</v>
      </c>
    </row>
    <row r="21" spans="1:5">
      <c r="A21" s="41">
        <f t="shared" si="1"/>
        <v>5</v>
      </c>
      <c r="B21" s="41">
        <f t="shared" si="2"/>
        <v>214007.23202321091</v>
      </c>
      <c r="C21" s="41">
        <f t="shared" si="3"/>
        <v>22654.302178381371</v>
      </c>
      <c r="D21" s="41">
        <f t="shared" si="4"/>
        <v>14980.506241624766</v>
      </c>
      <c r="E21" s="41">
        <f t="shared" si="0"/>
        <v>7673.7959367566054</v>
      </c>
    </row>
    <row r="22" spans="1:5">
      <c r="A22" s="41">
        <f t="shared" si="1"/>
        <v>6</v>
      </c>
      <c r="B22" s="41">
        <f t="shared" si="2"/>
        <v>206333.43608645431</v>
      </c>
      <c r="C22" s="41">
        <f t="shared" si="3"/>
        <v>22654.302178381371</v>
      </c>
      <c r="D22" s="41">
        <f t="shared" si="4"/>
        <v>14443.340526051803</v>
      </c>
      <c r="E22" s="41">
        <f t="shared" si="0"/>
        <v>8210.9616523295681</v>
      </c>
    </row>
    <row r="23" spans="1:5">
      <c r="A23" s="41">
        <f t="shared" si="1"/>
        <v>7</v>
      </c>
      <c r="B23" s="41">
        <f t="shared" si="2"/>
        <v>198122.47443412474</v>
      </c>
      <c r="C23" s="41">
        <f t="shared" si="3"/>
        <v>22654.302178381371</v>
      </c>
      <c r="D23" s="41">
        <f t="shared" si="4"/>
        <v>13868.573210388733</v>
      </c>
      <c r="E23" s="41">
        <f t="shared" si="0"/>
        <v>8785.728967992638</v>
      </c>
    </row>
    <row r="24" spans="1:5">
      <c r="A24" s="41">
        <f t="shared" si="1"/>
        <v>8</v>
      </c>
      <c r="B24" s="41">
        <f t="shared" si="2"/>
        <v>189336.7454661321</v>
      </c>
      <c r="C24" s="41">
        <f t="shared" si="3"/>
        <v>22654.302178381371</v>
      </c>
      <c r="D24" s="41">
        <f t="shared" si="4"/>
        <v>13253.572182629248</v>
      </c>
      <c r="E24" s="41">
        <f t="shared" si="0"/>
        <v>9400.7299957521227</v>
      </c>
    </row>
    <row r="25" spans="1:5">
      <c r="A25" s="41">
        <f t="shared" si="1"/>
        <v>9</v>
      </c>
      <c r="B25" s="41">
        <f t="shared" si="2"/>
        <v>179936.01547037996</v>
      </c>
      <c r="C25" s="41">
        <f t="shared" si="3"/>
        <v>22654.302178381371</v>
      </c>
      <c r="D25" s="41">
        <f t="shared" si="4"/>
        <v>12595.521082926598</v>
      </c>
      <c r="E25" s="41">
        <f t="shared" si="0"/>
        <v>10058.781095454773</v>
      </c>
    </row>
    <row r="26" spans="1:5">
      <c r="A26" s="41">
        <f t="shared" si="1"/>
        <v>10</v>
      </c>
      <c r="B26" s="41">
        <f t="shared" si="2"/>
        <v>169877.2343749252</v>
      </c>
      <c r="C26" s="41">
        <f t="shared" si="3"/>
        <v>22654.302178381371</v>
      </c>
      <c r="D26" s="41">
        <f t="shared" si="4"/>
        <v>11891.406406244765</v>
      </c>
      <c r="E26" s="41">
        <f t="shared" si="0"/>
        <v>10762.895772136606</v>
      </c>
    </row>
    <row r="27" spans="1:5">
      <c r="A27" s="41">
        <f t="shared" si="1"/>
        <v>11</v>
      </c>
      <c r="B27" s="41">
        <f t="shared" si="2"/>
        <v>159114.3386027886</v>
      </c>
      <c r="C27" s="41">
        <f t="shared" si="3"/>
        <v>22654.302178381371</v>
      </c>
      <c r="D27" s="41">
        <f t="shared" si="4"/>
        <v>11138.003702195203</v>
      </c>
      <c r="E27" s="41">
        <f t="shared" si="0"/>
        <v>11516.298476186168</v>
      </c>
    </row>
    <row r="28" spans="1:5">
      <c r="A28" s="41">
        <f t="shared" si="1"/>
        <v>12</v>
      </c>
      <c r="B28" s="41">
        <f t="shared" si="2"/>
        <v>147598.04012660243</v>
      </c>
      <c r="C28" s="41">
        <f t="shared" si="3"/>
        <v>22654.302178381371</v>
      </c>
      <c r="D28" s="41">
        <f t="shared" si="4"/>
        <v>10331.862808862172</v>
      </c>
      <c r="E28" s="41">
        <f t="shared" si="0"/>
        <v>12322.439369519199</v>
      </c>
    </row>
    <row r="29" spans="1:5">
      <c r="A29" s="41">
        <f t="shared" si="1"/>
        <v>13</v>
      </c>
      <c r="B29" s="41">
        <f t="shared" si="2"/>
        <v>135275.60075708322</v>
      </c>
      <c r="C29" s="41">
        <f t="shared" si="3"/>
        <v>22654.302178381371</v>
      </c>
      <c r="D29" s="41">
        <f t="shared" si="4"/>
        <v>9469.2920529958265</v>
      </c>
      <c r="E29" s="41">
        <f t="shared" si="0"/>
        <v>13185.010125385545</v>
      </c>
    </row>
    <row r="30" spans="1:5">
      <c r="A30" s="41">
        <f t="shared" si="1"/>
        <v>14</v>
      </c>
      <c r="B30" s="41">
        <f t="shared" si="2"/>
        <v>122090.59063169768</v>
      </c>
      <c r="C30" s="41">
        <f t="shared" si="3"/>
        <v>22654.302178381371</v>
      </c>
      <c r="D30" s="41">
        <f t="shared" si="4"/>
        <v>8546.3413442188375</v>
      </c>
      <c r="E30" s="41">
        <f t="shared" si="0"/>
        <v>14107.960834162534</v>
      </c>
    </row>
    <row r="31" spans="1:5">
      <c r="A31" s="41">
        <f t="shared" si="1"/>
        <v>15</v>
      </c>
      <c r="B31" s="41">
        <f t="shared" si="2"/>
        <v>107982.62979753515</v>
      </c>
      <c r="C31" s="41">
        <f t="shared" si="3"/>
        <v>22654.302178381371</v>
      </c>
      <c r="D31" s="41">
        <f t="shared" si="4"/>
        <v>7558.7840858274612</v>
      </c>
      <c r="E31" s="41">
        <f t="shared" si="0"/>
        <v>15095.51809255391</v>
      </c>
    </row>
    <row r="32" spans="1:5">
      <c r="A32" s="41">
        <f t="shared" si="1"/>
        <v>16</v>
      </c>
      <c r="B32" s="41">
        <f t="shared" si="2"/>
        <v>92887.111704981246</v>
      </c>
      <c r="C32" s="41">
        <f t="shared" si="3"/>
        <v>22654.302178381371</v>
      </c>
      <c r="D32" s="41">
        <f t="shared" si="4"/>
        <v>6502.0978193486881</v>
      </c>
      <c r="E32" s="41">
        <f t="shared" si="0"/>
        <v>16152.204359032683</v>
      </c>
    </row>
    <row r="33" spans="1:8">
      <c r="A33" s="41">
        <f t="shared" si="1"/>
        <v>17</v>
      </c>
      <c r="B33" s="41">
        <f t="shared" si="2"/>
        <v>76734.907345948566</v>
      </c>
      <c r="C33" s="41">
        <f t="shared" si="3"/>
        <v>22654.302178381371</v>
      </c>
      <c r="D33" s="41">
        <f t="shared" si="4"/>
        <v>5371.4435142164002</v>
      </c>
      <c r="E33" s="41">
        <f t="shared" si="0"/>
        <v>17282.858664164971</v>
      </c>
    </row>
    <row r="34" spans="1:8">
      <c r="A34" s="41">
        <f t="shared" si="1"/>
        <v>18</v>
      </c>
      <c r="B34" s="41">
        <f t="shared" si="2"/>
        <v>59452.048681783592</v>
      </c>
      <c r="C34" s="41">
        <f t="shared" si="3"/>
        <v>22654.302178381371</v>
      </c>
      <c r="D34" s="41">
        <f t="shared" si="4"/>
        <v>4161.6434077248514</v>
      </c>
      <c r="E34" s="41">
        <f t="shared" si="0"/>
        <v>18492.658770656519</v>
      </c>
    </row>
    <row r="35" spans="1:8">
      <c r="A35" s="41">
        <f t="shared" si="1"/>
        <v>19</v>
      </c>
      <c r="B35" s="41">
        <f t="shared" si="2"/>
        <v>40959.389911127073</v>
      </c>
      <c r="C35" s="41">
        <f t="shared" si="3"/>
        <v>22654.302178381371</v>
      </c>
      <c r="D35" s="41">
        <f t="shared" si="4"/>
        <v>2867.1572937788956</v>
      </c>
      <c r="E35" s="41">
        <f t="shared" si="0"/>
        <v>19787.144884602476</v>
      </c>
    </row>
    <row r="36" spans="1:8">
      <c r="A36" s="41">
        <f t="shared" si="1"/>
        <v>20</v>
      </c>
      <c r="B36" s="41">
        <f t="shared" si="2"/>
        <v>21172.245026524597</v>
      </c>
      <c r="C36" s="41">
        <f t="shared" si="3"/>
        <v>22654.302178381371</v>
      </c>
      <c r="D36" s="41">
        <f t="shared" si="4"/>
        <v>1482.0571518567219</v>
      </c>
      <c r="E36" s="41">
        <f t="shared" si="0"/>
        <v>21172.245026524648</v>
      </c>
    </row>
    <row r="37" spans="1:8">
      <c r="D37" s="36"/>
      <c r="E37" s="36"/>
      <c r="F37" s="36"/>
      <c r="G37" s="36"/>
      <c r="H37" s="36"/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43"/>
  <sheetViews>
    <sheetView workbookViewId="0"/>
  </sheetViews>
  <sheetFormatPr defaultRowHeight="12.75"/>
  <cols>
    <col min="1" max="1" width="9.140625" style="37"/>
    <col min="2" max="2" width="4.28515625" style="37" customWidth="1"/>
    <col min="3" max="257" width="9.140625" style="37"/>
    <col min="258" max="258" width="4.28515625" style="37" customWidth="1"/>
    <col min="259" max="513" width="9.140625" style="37"/>
    <col min="514" max="514" width="4.28515625" style="37" customWidth="1"/>
    <col min="515" max="769" width="9.140625" style="37"/>
    <col min="770" max="770" width="4.28515625" style="37" customWidth="1"/>
    <col min="771" max="1025" width="9.140625" style="37"/>
    <col min="1026" max="1026" width="4.28515625" style="37" customWidth="1"/>
    <col min="1027" max="1281" width="9.140625" style="37"/>
    <col min="1282" max="1282" width="4.28515625" style="37" customWidth="1"/>
    <col min="1283" max="1537" width="9.140625" style="37"/>
    <col min="1538" max="1538" width="4.28515625" style="37" customWidth="1"/>
    <col min="1539" max="1793" width="9.140625" style="37"/>
    <col min="1794" max="1794" width="4.28515625" style="37" customWidth="1"/>
    <col min="1795" max="2049" width="9.140625" style="37"/>
    <col min="2050" max="2050" width="4.28515625" style="37" customWidth="1"/>
    <col min="2051" max="2305" width="9.140625" style="37"/>
    <col min="2306" max="2306" width="4.28515625" style="37" customWidth="1"/>
    <col min="2307" max="2561" width="9.140625" style="37"/>
    <col min="2562" max="2562" width="4.28515625" style="37" customWidth="1"/>
    <col min="2563" max="2817" width="9.140625" style="37"/>
    <col min="2818" max="2818" width="4.28515625" style="37" customWidth="1"/>
    <col min="2819" max="3073" width="9.140625" style="37"/>
    <col min="3074" max="3074" width="4.28515625" style="37" customWidth="1"/>
    <col min="3075" max="3329" width="9.140625" style="37"/>
    <col min="3330" max="3330" width="4.28515625" style="37" customWidth="1"/>
    <col min="3331" max="3585" width="9.140625" style="37"/>
    <col min="3586" max="3586" width="4.28515625" style="37" customWidth="1"/>
    <col min="3587" max="3841" width="9.140625" style="37"/>
    <col min="3842" max="3842" width="4.28515625" style="37" customWidth="1"/>
    <col min="3843" max="4097" width="9.140625" style="37"/>
    <col min="4098" max="4098" width="4.28515625" style="37" customWidth="1"/>
    <col min="4099" max="4353" width="9.140625" style="37"/>
    <col min="4354" max="4354" width="4.28515625" style="37" customWidth="1"/>
    <col min="4355" max="4609" width="9.140625" style="37"/>
    <col min="4610" max="4610" width="4.28515625" style="37" customWidth="1"/>
    <col min="4611" max="4865" width="9.140625" style="37"/>
    <col min="4866" max="4866" width="4.28515625" style="37" customWidth="1"/>
    <col min="4867" max="5121" width="9.140625" style="37"/>
    <col min="5122" max="5122" width="4.28515625" style="37" customWidth="1"/>
    <col min="5123" max="5377" width="9.140625" style="37"/>
    <col min="5378" max="5378" width="4.28515625" style="37" customWidth="1"/>
    <col min="5379" max="5633" width="9.140625" style="37"/>
    <col min="5634" max="5634" width="4.28515625" style="37" customWidth="1"/>
    <col min="5635" max="5889" width="9.140625" style="37"/>
    <col min="5890" max="5890" width="4.28515625" style="37" customWidth="1"/>
    <col min="5891" max="6145" width="9.140625" style="37"/>
    <col min="6146" max="6146" width="4.28515625" style="37" customWidth="1"/>
    <col min="6147" max="6401" width="9.140625" style="37"/>
    <col min="6402" max="6402" width="4.28515625" style="37" customWidth="1"/>
    <col min="6403" max="6657" width="9.140625" style="37"/>
    <col min="6658" max="6658" width="4.28515625" style="37" customWidth="1"/>
    <col min="6659" max="6913" width="9.140625" style="37"/>
    <col min="6914" max="6914" width="4.28515625" style="37" customWidth="1"/>
    <col min="6915" max="7169" width="9.140625" style="37"/>
    <col min="7170" max="7170" width="4.28515625" style="37" customWidth="1"/>
    <col min="7171" max="7425" width="9.140625" style="37"/>
    <col min="7426" max="7426" width="4.28515625" style="37" customWidth="1"/>
    <col min="7427" max="7681" width="9.140625" style="37"/>
    <col min="7682" max="7682" width="4.28515625" style="37" customWidth="1"/>
    <col min="7683" max="7937" width="9.140625" style="37"/>
    <col min="7938" max="7938" width="4.28515625" style="37" customWidth="1"/>
    <col min="7939" max="8193" width="9.140625" style="37"/>
    <col min="8194" max="8194" width="4.28515625" style="37" customWidth="1"/>
    <col min="8195" max="8449" width="9.140625" style="37"/>
    <col min="8450" max="8450" width="4.28515625" style="37" customWidth="1"/>
    <col min="8451" max="8705" width="9.140625" style="37"/>
    <col min="8706" max="8706" width="4.28515625" style="37" customWidth="1"/>
    <col min="8707" max="8961" width="9.140625" style="37"/>
    <col min="8962" max="8962" width="4.28515625" style="37" customWidth="1"/>
    <col min="8963" max="9217" width="9.140625" style="37"/>
    <col min="9218" max="9218" width="4.28515625" style="37" customWidth="1"/>
    <col min="9219" max="9473" width="9.140625" style="37"/>
    <col min="9474" max="9474" width="4.28515625" style="37" customWidth="1"/>
    <col min="9475" max="9729" width="9.140625" style="37"/>
    <col min="9730" max="9730" width="4.28515625" style="37" customWidth="1"/>
    <col min="9731" max="9985" width="9.140625" style="37"/>
    <col min="9986" max="9986" width="4.28515625" style="37" customWidth="1"/>
    <col min="9987" max="10241" width="9.140625" style="37"/>
    <col min="10242" max="10242" width="4.28515625" style="37" customWidth="1"/>
    <col min="10243" max="10497" width="9.140625" style="37"/>
    <col min="10498" max="10498" width="4.28515625" style="37" customWidth="1"/>
    <col min="10499" max="10753" width="9.140625" style="37"/>
    <col min="10754" max="10754" width="4.28515625" style="37" customWidth="1"/>
    <col min="10755" max="11009" width="9.140625" style="37"/>
    <col min="11010" max="11010" width="4.28515625" style="37" customWidth="1"/>
    <col min="11011" max="11265" width="9.140625" style="37"/>
    <col min="11266" max="11266" width="4.28515625" style="37" customWidth="1"/>
    <col min="11267" max="11521" width="9.140625" style="37"/>
    <col min="11522" max="11522" width="4.28515625" style="37" customWidth="1"/>
    <col min="11523" max="11777" width="9.140625" style="37"/>
    <col min="11778" max="11778" width="4.28515625" style="37" customWidth="1"/>
    <col min="11779" max="12033" width="9.140625" style="37"/>
    <col min="12034" max="12034" width="4.28515625" style="37" customWidth="1"/>
    <col min="12035" max="12289" width="9.140625" style="37"/>
    <col min="12290" max="12290" width="4.28515625" style="37" customWidth="1"/>
    <col min="12291" max="12545" width="9.140625" style="37"/>
    <col min="12546" max="12546" width="4.28515625" style="37" customWidth="1"/>
    <col min="12547" max="12801" width="9.140625" style="37"/>
    <col min="12802" max="12802" width="4.28515625" style="37" customWidth="1"/>
    <col min="12803" max="13057" width="9.140625" style="37"/>
    <col min="13058" max="13058" width="4.28515625" style="37" customWidth="1"/>
    <col min="13059" max="13313" width="9.140625" style="37"/>
    <col min="13314" max="13314" width="4.28515625" style="37" customWidth="1"/>
    <col min="13315" max="13569" width="9.140625" style="37"/>
    <col min="13570" max="13570" width="4.28515625" style="37" customWidth="1"/>
    <col min="13571" max="13825" width="9.140625" style="37"/>
    <col min="13826" max="13826" width="4.28515625" style="37" customWidth="1"/>
    <col min="13827" max="14081" width="9.140625" style="37"/>
    <col min="14082" max="14082" width="4.28515625" style="37" customWidth="1"/>
    <col min="14083" max="14337" width="9.140625" style="37"/>
    <col min="14338" max="14338" width="4.28515625" style="37" customWidth="1"/>
    <col min="14339" max="14593" width="9.140625" style="37"/>
    <col min="14594" max="14594" width="4.28515625" style="37" customWidth="1"/>
    <col min="14595" max="14849" width="9.140625" style="37"/>
    <col min="14850" max="14850" width="4.28515625" style="37" customWidth="1"/>
    <col min="14851" max="15105" width="9.140625" style="37"/>
    <col min="15106" max="15106" width="4.28515625" style="37" customWidth="1"/>
    <col min="15107" max="15361" width="9.140625" style="37"/>
    <col min="15362" max="15362" width="4.28515625" style="37" customWidth="1"/>
    <col min="15363" max="15617" width="9.140625" style="37"/>
    <col min="15618" max="15618" width="4.28515625" style="37" customWidth="1"/>
    <col min="15619" max="15873" width="9.140625" style="37"/>
    <col min="15874" max="15874" width="4.28515625" style="37" customWidth="1"/>
    <col min="15875" max="16129" width="9.140625" style="37"/>
    <col min="16130" max="16130" width="4.28515625" style="37" customWidth="1"/>
    <col min="16131" max="16384" width="9.140625" style="37"/>
  </cols>
  <sheetData>
    <row r="1" spans="1:11" ht="18">
      <c r="A1" s="42" t="s">
        <v>298</v>
      </c>
    </row>
    <row r="2" spans="1:11">
      <c r="A2" s="45" t="s">
        <v>299</v>
      </c>
      <c r="B2" s="45"/>
      <c r="C2" s="45"/>
      <c r="D2" s="45"/>
      <c r="E2" s="45"/>
      <c r="F2" s="45"/>
      <c r="G2" s="45"/>
      <c r="H2" s="45"/>
      <c r="I2" s="45"/>
      <c r="J2" s="45"/>
      <c r="K2" s="41"/>
    </row>
    <row r="3" spans="1:11">
      <c r="A3" s="45" t="s">
        <v>300</v>
      </c>
      <c r="B3" s="45"/>
      <c r="C3" s="45"/>
      <c r="D3" s="45"/>
      <c r="E3" s="45"/>
      <c r="F3" s="45"/>
      <c r="G3" s="45"/>
      <c r="H3" s="45"/>
      <c r="I3" s="45"/>
      <c r="J3" s="45"/>
      <c r="K3" s="41"/>
    </row>
    <row r="4" spans="1:11">
      <c r="A4" s="45" t="s">
        <v>301</v>
      </c>
      <c r="B4" s="45"/>
      <c r="C4" s="45"/>
      <c r="D4" s="45"/>
      <c r="E4" s="45"/>
      <c r="F4" s="45"/>
      <c r="G4" s="45"/>
      <c r="H4" s="45"/>
      <c r="I4" s="45"/>
      <c r="J4" s="45"/>
      <c r="K4" s="41"/>
    </row>
    <row r="5" spans="1:11">
      <c r="A5" s="45" t="s">
        <v>302</v>
      </c>
      <c r="B5" s="45"/>
      <c r="C5" s="45"/>
      <c r="D5" s="45"/>
      <c r="E5" s="45"/>
      <c r="F5" s="45"/>
      <c r="G5" s="45"/>
      <c r="H5" s="45"/>
      <c r="I5" s="45"/>
      <c r="J5" s="45"/>
      <c r="K5" s="41"/>
    </row>
    <row r="6" spans="1:11">
      <c r="A6" s="45" t="s">
        <v>303</v>
      </c>
      <c r="B6" s="45"/>
      <c r="C6" s="45"/>
      <c r="D6" s="45"/>
      <c r="E6" s="45"/>
      <c r="F6" s="45"/>
      <c r="G6" s="45"/>
      <c r="H6" s="45"/>
      <c r="I6" s="45"/>
      <c r="J6" s="45"/>
      <c r="K6" s="41"/>
    </row>
    <row r="7" spans="1:11">
      <c r="A7" s="45" t="s">
        <v>304</v>
      </c>
      <c r="B7" s="45"/>
      <c r="C7" s="45"/>
      <c r="D7" s="45"/>
      <c r="E7" s="45"/>
      <c r="F7" s="45"/>
      <c r="G7" s="45"/>
      <c r="H7" s="45"/>
      <c r="I7" s="45"/>
      <c r="J7" s="45"/>
      <c r="K7" s="41"/>
    </row>
    <row r="8" spans="1:11">
      <c r="A8" s="46"/>
      <c r="B8" s="46"/>
      <c r="C8" s="46"/>
      <c r="D8" s="46"/>
      <c r="E8" s="46"/>
      <c r="F8" s="46"/>
      <c r="G8" s="46"/>
      <c r="H8" s="46"/>
      <c r="I8" s="46"/>
      <c r="J8" s="46"/>
    </row>
    <row r="9" spans="1:11">
      <c r="A9" s="37">
        <v>20000</v>
      </c>
      <c r="B9" s="43" t="s">
        <v>305</v>
      </c>
      <c r="C9" s="43"/>
      <c r="D9" s="43"/>
      <c r="E9" s="41"/>
      <c r="F9" s="41"/>
    </row>
    <row r="10" spans="1:11">
      <c r="A10" s="37">
        <v>0.03</v>
      </c>
      <c r="B10" s="43" t="s">
        <v>306</v>
      </c>
      <c r="C10" s="43"/>
      <c r="D10" s="43"/>
      <c r="E10" s="41"/>
      <c r="F10" s="41"/>
    </row>
    <row r="11" spans="1:11">
      <c r="A11" s="37">
        <v>0.06</v>
      </c>
      <c r="B11" s="43" t="s">
        <v>307</v>
      </c>
      <c r="C11" s="43"/>
      <c r="D11" s="43"/>
      <c r="E11" s="41"/>
      <c r="F11" s="41"/>
    </row>
    <row r="12" spans="1:11">
      <c r="A12" s="37">
        <v>120</v>
      </c>
      <c r="B12" s="43" t="s">
        <v>308</v>
      </c>
      <c r="C12" s="43"/>
      <c r="D12" s="43"/>
      <c r="E12" s="41"/>
      <c r="F12" s="41"/>
    </row>
    <row r="13" spans="1:11">
      <c r="B13" s="43"/>
      <c r="C13" s="43"/>
      <c r="D13" s="43"/>
      <c r="E13" s="41"/>
      <c r="F13" s="41"/>
    </row>
    <row r="14" spans="1:11">
      <c r="A14" s="41" t="s">
        <v>309</v>
      </c>
      <c r="B14" s="43"/>
      <c r="C14" s="43"/>
      <c r="D14" s="43"/>
      <c r="E14" s="41"/>
      <c r="F14" s="41"/>
      <c r="G14" s="41"/>
      <c r="H14" s="41"/>
      <c r="I14" s="41"/>
      <c r="J14" s="41"/>
      <c r="K14" s="41"/>
    </row>
    <row r="15" spans="1:11">
      <c r="A15" s="41" t="s">
        <v>310</v>
      </c>
      <c r="B15" s="43"/>
      <c r="C15" s="43"/>
      <c r="D15" s="43"/>
      <c r="E15" s="41"/>
      <c r="F15" s="41"/>
      <c r="G15" s="41"/>
      <c r="H15" s="41"/>
      <c r="I15" s="41"/>
      <c r="J15" s="41"/>
      <c r="K15" s="41"/>
    </row>
    <row r="16" spans="1:11">
      <c r="B16" s="43"/>
      <c r="C16" s="43"/>
      <c r="D16" s="43"/>
      <c r="E16" s="41"/>
    </row>
    <row r="17" spans="1:11">
      <c r="A17" s="39">
        <f>A9/(1/(A10/12)*(1-1/(1+(A10/12))^A12))</f>
        <v>193.1214893967821</v>
      </c>
      <c r="B17" s="43" t="s">
        <v>311</v>
      </c>
      <c r="C17" s="43"/>
      <c r="D17" s="43"/>
      <c r="E17" s="41"/>
    </row>
    <row r="18" spans="1:11">
      <c r="B18" s="43"/>
      <c r="C18" s="43"/>
      <c r="D18" s="43"/>
      <c r="E18" s="41"/>
    </row>
    <row r="19" spans="1:11">
      <c r="A19" s="41" t="s">
        <v>312</v>
      </c>
      <c r="B19" s="43"/>
      <c r="C19" s="43"/>
      <c r="D19" s="43"/>
      <c r="E19" s="41"/>
      <c r="F19" s="41"/>
      <c r="G19" s="41"/>
      <c r="H19" s="41"/>
      <c r="I19" s="41"/>
      <c r="J19" s="41"/>
      <c r="K19" s="41"/>
    </row>
    <row r="20" spans="1:11">
      <c r="B20" s="43"/>
      <c r="C20" s="43"/>
      <c r="D20" s="43"/>
      <c r="E20" s="41"/>
    </row>
    <row r="21" spans="1:11">
      <c r="A21" s="37">
        <f>A17*(1/(A11/12)*(1-1/(1+A11/12)^120))</f>
        <v>17395.119461653965</v>
      </c>
      <c r="B21" s="43" t="s">
        <v>313</v>
      </c>
      <c r="C21" s="43"/>
      <c r="D21" s="43"/>
      <c r="E21" s="41"/>
      <c r="F21" s="41"/>
      <c r="G21" s="41"/>
      <c r="H21" s="41"/>
      <c r="I21" s="41"/>
      <c r="J21" s="41"/>
      <c r="K21" s="41"/>
    </row>
    <row r="22" spans="1:11">
      <c r="A22" s="47" t="s">
        <v>314</v>
      </c>
      <c r="B22" s="47" t="s">
        <v>315</v>
      </c>
      <c r="C22" s="47" t="s">
        <v>316</v>
      </c>
    </row>
    <row r="23" spans="1:11">
      <c r="A23" s="37">
        <v>193.12100000000001</v>
      </c>
      <c r="B23" s="37">
        <v>1</v>
      </c>
      <c r="C23" s="37">
        <f t="shared" ref="C23:C86" si="0">A23/(1+0.005)^B23</f>
        <v>192.16019900497514</v>
      </c>
    </row>
    <row r="24" spans="1:11">
      <c r="A24" s="37">
        <f t="shared" ref="A24:A87" si="1">A23</f>
        <v>193.12100000000001</v>
      </c>
      <c r="B24" s="37">
        <f t="shared" ref="B24:B87" si="2">B23+1</f>
        <v>2</v>
      </c>
      <c r="C24" s="37">
        <f t="shared" si="0"/>
        <v>191.20417811440316</v>
      </c>
    </row>
    <row r="25" spans="1:11">
      <c r="A25" s="37">
        <f t="shared" si="1"/>
        <v>193.12100000000001</v>
      </c>
      <c r="B25" s="37">
        <f t="shared" si="2"/>
        <v>3</v>
      </c>
      <c r="C25" s="37">
        <f t="shared" si="0"/>
        <v>190.25291354666984</v>
      </c>
    </row>
    <row r="26" spans="1:11">
      <c r="A26" s="37">
        <f t="shared" si="1"/>
        <v>193.12100000000001</v>
      </c>
      <c r="B26" s="37">
        <f t="shared" si="2"/>
        <v>4</v>
      </c>
      <c r="C26" s="37">
        <f t="shared" si="0"/>
        <v>189.30638163847749</v>
      </c>
    </row>
    <row r="27" spans="1:11">
      <c r="A27" s="37">
        <f t="shared" si="1"/>
        <v>193.12100000000001</v>
      </c>
      <c r="B27" s="37">
        <f t="shared" si="2"/>
        <v>5</v>
      </c>
      <c r="C27" s="37">
        <f t="shared" si="0"/>
        <v>188.36455884425627</v>
      </c>
    </row>
    <row r="28" spans="1:11">
      <c r="A28" s="37">
        <f t="shared" si="1"/>
        <v>193.12100000000001</v>
      </c>
      <c r="B28" s="37">
        <f t="shared" si="2"/>
        <v>6</v>
      </c>
      <c r="C28" s="37">
        <f t="shared" si="0"/>
        <v>187.42742173557841</v>
      </c>
    </row>
    <row r="29" spans="1:11">
      <c r="A29" s="37">
        <f t="shared" si="1"/>
        <v>193.12100000000001</v>
      </c>
      <c r="B29" s="37">
        <f t="shared" si="2"/>
        <v>7</v>
      </c>
      <c r="C29" s="37">
        <f t="shared" si="0"/>
        <v>186.49494700057554</v>
      </c>
    </row>
    <row r="30" spans="1:11">
      <c r="A30" s="37">
        <f t="shared" si="1"/>
        <v>193.12100000000001</v>
      </c>
      <c r="B30" s="37">
        <f t="shared" si="2"/>
        <v>8</v>
      </c>
      <c r="C30" s="37">
        <f t="shared" si="0"/>
        <v>185.56711144335875</v>
      </c>
    </row>
    <row r="31" spans="1:11">
      <c r="A31" s="37">
        <f t="shared" si="1"/>
        <v>193.12100000000001</v>
      </c>
      <c r="B31" s="37">
        <f t="shared" si="2"/>
        <v>9</v>
      </c>
      <c r="C31" s="37">
        <f t="shared" si="0"/>
        <v>184.64389198344156</v>
      </c>
    </row>
    <row r="32" spans="1:11">
      <c r="A32" s="37">
        <f t="shared" si="1"/>
        <v>193.12100000000001</v>
      </c>
      <c r="B32" s="37">
        <f t="shared" si="2"/>
        <v>10</v>
      </c>
      <c r="C32" s="37">
        <f t="shared" si="0"/>
        <v>183.72526565516577</v>
      </c>
    </row>
    <row r="33" spans="1:3">
      <c r="A33" s="37">
        <f t="shared" si="1"/>
        <v>193.12100000000001</v>
      </c>
      <c r="B33" s="37">
        <f t="shared" si="2"/>
        <v>11</v>
      </c>
      <c r="C33" s="37">
        <f t="shared" si="0"/>
        <v>182.81120960713014</v>
      </c>
    </row>
    <row r="34" spans="1:3">
      <c r="A34" s="37">
        <f t="shared" si="1"/>
        <v>193.12100000000001</v>
      </c>
      <c r="B34" s="37">
        <f t="shared" si="2"/>
        <v>12</v>
      </c>
      <c r="C34" s="37">
        <f t="shared" si="0"/>
        <v>181.90170110162208</v>
      </c>
    </row>
    <row r="35" spans="1:3">
      <c r="A35" s="37">
        <f t="shared" si="1"/>
        <v>193.12100000000001</v>
      </c>
      <c r="B35" s="37">
        <f t="shared" si="2"/>
        <v>13</v>
      </c>
      <c r="C35" s="37">
        <f t="shared" si="0"/>
        <v>180.99671751405185</v>
      </c>
    </row>
    <row r="36" spans="1:3">
      <c r="A36" s="37">
        <f t="shared" si="1"/>
        <v>193.12100000000001</v>
      </c>
      <c r="B36" s="37">
        <f t="shared" si="2"/>
        <v>14</v>
      </c>
      <c r="C36" s="37">
        <f t="shared" si="0"/>
        <v>180.09623633238994</v>
      </c>
    </row>
    <row r="37" spans="1:3">
      <c r="A37" s="37">
        <f t="shared" si="1"/>
        <v>193.12100000000001</v>
      </c>
      <c r="B37" s="37">
        <f t="shared" si="2"/>
        <v>15</v>
      </c>
      <c r="C37" s="37">
        <f t="shared" si="0"/>
        <v>179.20023515660694</v>
      </c>
    </row>
    <row r="38" spans="1:3">
      <c r="A38" s="37">
        <f t="shared" si="1"/>
        <v>193.12100000000001</v>
      </c>
      <c r="B38" s="37">
        <f t="shared" si="2"/>
        <v>16</v>
      </c>
      <c r="C38" s="37">
        <f t="shared" si="0"/>
        <v>178.30869169811638</v>
      </c>
    </row>
    <row r="39" spans="1:3">
      <c r="A39" s="37">
        <f t="shared" si="1"/>
        <v>193.12100000000001</v>
      </c>
      <c r="B39" s="37">
        <f t="shared" si="2"/>
        <v>17</v>
      </c>
      <c r="C39" s="37">
        <f t="shared" si="0"/>
        <v>177.42158377922027</v>
      </c>
    </row>
    <row r="40" spans="1:3">
      <c r="A40" s="37">
        <f t="shared" si="1"/>
        <v>193.12100000000001</v>
      </c>
      <c r="B40" s="37">
        <f t="shared" si="2"/>
        <v>18</v>
      </c>
      <c r="C40" s="37">
        <f t="shared" si="0"/>
        <v>176.53888933255755</v>
      </c>
    </row>
    <row r="41" spans="1:3">
      <c r="A41" s="37">
        <f t="shared" si="1"/>
        <v>193.12100000000001</v>
      </c>
      <c r="B41" s="37">
        <f t="shared" si="2"/>
        <v>19</v>
      </c>
      <c r="C41" s="37">
        <f t="shared" si="0"/>
        <v>175.66058640055479</v>
      </c>
    </row>
    <row r="42" spans="1:3">
      <c r="A42" s="37">
        <f t="shared" si="1"/>
        <v>193.12100000000001</v>
      </c>
      <c r="B42" s="37">
        <f t="shared" si="2"/>
        <v>20</v>
      </c>
      <c r="C42" s="37">
        <f t="shared" si="0"/>
        <v>174.7866531348804</v>
      </c>
    </row>
    <row r="43" spans="1:3">
      <c r="A43" s="37">
        <f t="shared" si="1"/>
        <v>193.12100000000001</v>
      </c>
      <c r="B43" s="37">
        <f t="shared" si="2"/>
        <v>21</v>
      </c>
      <c r="C43" s="37">
        <f t="shared" si="0"/>
        <v>173.91706779590095</v>
      </c>
    </row>
    <row r="44" spans="1:3">
      <c r="A44" s="37">
        <f t="shared" si="1"/>
        <v>193.12100000000001</v>
      </c>
      <c r="B44" s="37">
        <f t="shared" si="2"/>
        <v>22</v>
      </c>
      <c r="C44" s="37">
        <f t="shared" si="0"/>
        <v>173.05180875214026</v>
      </c>
    </row>
    <row r="45" spans="1:3">
      <c r="A45" s="37">
        <f t="shared" si="1"/>
        <v>193.12100000000001</v>
      </c>
      <c r="B45" s="37">
        <f t="shared" si="2"/>
        <v>23</v>
      </c>
      <c r="C45" s="37">
        <f t="shared" si="0"/>
        <v>172.1908544797416</v>
      </c>
    </row>
    <row r="46" spans="1:3">
      <c r="A46" s="37">
        <f t="shared" si="1"/>
        <v>193.12100000000001</v>
      </c>
      <c r="B46" s="37">
        <f t="shared" si="2"/>
        <v>24</v>
      </c>
      <c r="C46" s="37">
        <f t="shared" si="0"/>
        <v>171.33418356193192</v>
      </c>
    </row>
    <row r="47" spans="1:3">
      <c r="A47" s="37">
        <f t="shared" si="1"/>
        <v>193.12100000000001</v>
      </c>
      <c r="B47" s="37">
        <f t="shared" si="2"/>
        <v>25</v>
      </c>
      <c r="C47" s="37">
        <f t="shared" si="0"/>
        <v>170.48177468848951</v>
      </c>
    </row>
    <row r="48" spans="1:3">
      <c r="A48" s="37">
        <f t="shared" si="1"/>
        <v>193.12100000000001</v>
      </c>
      <c r="B48" s="37">
        <f t="shared" si="2"/>
        <v>26</v>
      </c>
      <c r="C48" s="37">
        <f t="shared" si="0"/>
        <v>169.63360665521347</v>
      </c>
    </row>
    <row r="49" spans="1:3">
      <c r="A49" s="37">
        <f t="shared" si="1"/>
        <v>193.12100000000001</v>
      </c>
      <c r="B49" s="37">
        <f t="shared" si="2"/>
        <v>27</v>
      </c>
      <c r="C49" s="37">
        <f t="shared" si="0"/>
        <v>168.78965836339651</v>
      </c>
    </row>
    <row r="50" spans="1:3">
      <c r="A50" s="37">
        <f t="shared" si="1"/>
        <v>193.12100000000001</v>
      </c>
      <c r="B50" s="37">
        <f t="shared" si="2"/>
        <v>28</v>
      </c>
      <c r="C50" s="37">
        <f t="shared" si="0"/>
        <v>167.94990881930005</v>
      </c>
    </row>
    <row r="51" spans="1:3">
      <c r="A51" s="37">
        <f t="shared" si="1"/>
        <v>193.12100000000001</v>
      </c>
      <c r="B51" s="37">
        <f t="shared" si="2"/>
        <v>29</v>
      </c>
      <c r="C51" s="37">
        <f t="shared" si="0"/>
        <v>167.11433713363189</v>
      </c>
    </row>
    <row r="52" spans="1:3">
      <c r="A52" s="37">
        <f t="shared" si="1"/>
        <v>193.12100000000001</v>
      </c>
      <c r="B52" s="37">
        <f t="shared" si="2"/>
        <v>30</v>
      </c>
      <c r="C52" s="37">
        <f t="shared" si="0"/>
        <v>166.28292252102679</v>
      </c>
    </row>
    <row r="53" spans="1:3">
      <c r="A53" s="37">
        <f t="shared" si="1"/>
        <v>193.12100000000001</v>
      </c>
      <c r="B53" s="37">
        <f t="shared" si="2"/>
        <v>31</v>
      </c>
      <c r="C53" s="37">
        <f t="shared" si="0"/>
        <v>165.45564429952918</v>
      </c>
    </row>
    <row r="54" spans="1:3">
      <c r="A54" s="37">
        <f t="shared" si="1"/>
        <v>193.12100000000001</v>
      </c>
      <c r="B54" s="37">
        <f t="shared" si="2"/>
        <v>32</v>
      </c>
      <c r="C54" s="37">
        <f t="shared" si="0"/>
        <v>164.63248189007882</v>
      </c>
    </row>
    <row r="55" spans="1:3">
      <c r="A55" s="37">
        <f t="shared" si="1"/>
        <v>193.12100000000001</v>
      </c>
      <c r="B55" s="37">
        <f t="shared" si="2"/>
        <v>33</v>
      </c>
      <c r="C55" s="37">
        <f t="shared" si="0"/>
        <v>163.81341481599884</v>
      </c>
    </row>
    <row r="56" spans="1:3">
      <c r="A56" s="37">
        <f t="shared" si="1"/>
        <v>193.12100000000001</v>
      </c>
      <c r="B56" s="37">
        <f t="shared" si="2"/>
        <v>34</v>
      </c>
      <c r="C56" s="37">
        <f t="shared" si="0"/>
        <v>162.99842270248644</v>
      </c>
    </row>
    <row r="57" spans="1:3">
      <c r="A57" s="37">
        <f t="shared" si="1"/>
        <v>193.12100000000001</v>
      </c>
      <c r="B57" s="37">
        <f t="shared" si="2"/>
        <v>35</v>
      </c>
      <c r="C57" s="37">
        <f t="shared" si="0"/>
        <v>162.18748527610592</v>
      </c>
    </row>
    <row r="58" spans="1:3">
      <c r="A58" s="37">
        <f t="shared" si="1"/>
        <v>193.12100000000001</v>
      </c>
      <c r="B58" s="37">
        <f t="shared" si="2"/>
        <v>36</v>
      </c>
      <c r="C58" s="37">
        <f t="shared" si="0"/>
        <v>161.38058236428455</v>
      </c>
    </row>
    <row r="59" spans="1:3">
      <c r="A59" s="37">
        <f t="shared" si="1"/>
        <v>193.12100000000001</v>
      </c>
      <c r="B59" s="37">
        <f t="shared" si="2"/>
        <v>37</v>
      </c>
      <c r="C59" s="37">
        <f t="shared" si="0"/>
        <v>160.57769389481052</v>
      </c>
    </row>
    <row r="60" spans="1:3">
      <c r="A60" s="37">
        <f t="shared" si="1"/>
        <v>193.12100000000001</v>
      </c>
      <c r="B60" s="37">
        <f t="shared" si="2"/>
        <v>38</v>
      </c>
      <c r="C60" s="37">
        <f t="shared" si="0"/>
        <v>159.77879989533386</v>
      </c>
    </row>
    <row r="61" spans="1:3">
      <c r="A61" s="37">
        <f t="shared" si="1"/>
        <v>193.12100000000001</v>
      </c>
      <c r="B61" s="37">
        <f t="shared" si="2"/>
        <v>39</v>
      </c>
      <c r="C61" s="37">
        <f t="shared" si="0"/>
        <v>158.98388049286953</v>
      </c>
    </row>
    <row r="62" spans="1:3">
      <c r="A62" s="37">
        <f t="shared" si="1"/>
        <v>193.12100000000001</v>
      </c>
      <c r="B62" s="37">
        <f t="shared" si="2"/>
        <v>40</v>
      </c>
      <c r="C62" s="37">
        <f t="shared" si="0"/>
        <v>158.19291591330304</v>
      </c>
    </row>
    <row r="63" spans="1:3">
      <c r="A63" s="37">
        <f t="shared" si="1"/>
        <v>193.12100000000001</v>
      </c>
      <c r="B63" s="37">
        <f t="shared" si="2"/>
        <v>41</v>
      </c>
      <c r="C63" s="37">
        <f t="shared" si="0"/>
        <v>157.40588648089857</v>
      </c>
    </row>
    <row r="64" spans="1:3">
      <c r="A64" s="37">
        <f t="shared" si="1"/>
        <v>193.12100000000001</v>
      </c>
      <c r="B64" s="37">
        <f t="shared" si="2"/>
        <v>42</v>
      </c>
      <c r="C64" s="37">
        <f t="shared" si="0"/>
        <v>156.62277261780955</v>
      </c>
    </row>
    <row r="65" spans="1:3">
      <c r="A65" s="37">
        <f t="shared" si="1"/>
        <v>193.12100000000001</v>
      </c>
      <c r="B65" s="37">
        <f t="shared" si="2"/>
        <v>43</v>
      </c>
      <c r="C65" s="37">
        <f t="shared" si="0"/>
        <v>155.84355484359159</v>
      </c>
    </row>
    <row r="66" spans="1:3">
      <c r="A66" s="37">
        <f t="shared" si="1"/>
        <v>193.12100000000001</v>
      </c>
      <c r="B66" s="37">
        <f t="shared" si="2"/>
        <v>44</v>
      </c>
      <c r="C66" s="37">
        <f t="shared" si="0"/>
        <v>155.06821377471803</v>
      </c>
    </row>
    <row r="67" spans="1:3">
      <c r="A67" s="37">
        <f t="shared" si="1"/>
        <v>193.12100000000001</v>
      </c>
      <c r="B67" s="37">
        <f t="shared" si="2"/>
        <v>45</v>
      </c>
      <c r="C67" s="37">
        <f t="shared" si="0"/>
        <v>154.29673012409759</v>
      </c>
    </row>
    <row r="68" spans="1:3">
      <c r="A68" s="37">
        <f t="shared" si="1"/>
        <v>193.12100000000001</v>
      </c>
      <c r="B68" s="37">
        <f t="shared" si="2"/>
        <v>46</v>
      </c>
      <c r="C68" s="37">
        <f t="shared" si="0"/>
        <v>153.52908470059464</v>
      </c>
    </row>
    <row r="69" spans="1:3">
      <c r="A69" s="37">
        <f t="shared" si="1"/>
        <v>193.12100000000001</v>
      </c>
      <c r="B69" s="37">
        <f t="shared" si="2"/>
        <v>47</v>
      </c>
      <c r="C69" s="37">
        <f t="shared" si="0"/>
        <v>152.76525840855192</v>
      </c>
    </row>
    <row r="70" spans="1:3">
      <c r="A70" s="37">
        <f t="shared" si="1"/>
        <v>193.12100000000001</v>
      </c>
      <c r="B70" s="37">
        <f t="shared" si="2"/>
        <v>48</v>
      </c>
      <c r="C70" s="37">
        <f t="shared" si="0"/>
        <v>152.00523224731535</v>
      </c>
    </row>
    <row r="71" spans="1:3">
      <c r="A71" s="37">
        <f t="shared" si="1"/>
        <v>193.12100000000001</v>
      </c>
      <c r="B71" s="37">
        <f t="shared" si="2"/>
        <v>49</v>
      </c>
      <c r="C71" s="37">
        <f t="shared" si="0"/>
        <v>151.24898731076155</v>
      </c>
    </row>
    <row r="72" spans="1:3">
      <c r="A72" s="37">
        <f t="shared" si="1"/>
        <v>193.12100000000001</v>
      </c>
      <c r="B72" s="37">
        <f t="shared" si="2"/>
        <v>50</v>
      </c>
      <c r="C72" s="37">
        <f t="shared" si="0"/>
        <v>150.49650478682747</v>
      </c>
    </row>
    <row r="73" spans="1:3">
      <c r="A73" s="37">
        <f t="shared" si="1"/>
        <v>193.12100000000001</v>
      </c>
      <c r="B73" s="37">
        <f t="shared" si="2"/>
        <v>51</v>
      </c>
      <c r="C73" s="37">
        <f t="shared" si="0"/>
        <v>149.74776595704228</v>
      </c>
    </row>
    <row r="74" spans="1:3">
      <c r="A74" s="37">
        <f t="shared" si="1"/>
        <v>193.12100000000001</v>
      </c>
      <c r="B74" s="37">
        <f t="shared" si="2"/>
        <v>52</v>
      </c>
      <c r="C74" s="37">
        <f t="shared" si="0"/>
        <v>149.00275219606198</v>
      </c>
    </row>
    <row r="75" spans="1:3">
      <c r="A75" s="37">
        <f t="shared" si="1"/>
        <v>193.12100000000001</v>
      </c>
      <c r="B75" s="37">
        <f t="shared" si="2"/>
        <v>53</v>
      </c>
      <c r="C75" s="37">
        <f t="shared" si="0"/>
        <v>148.26144497120598</v>
      </c>
    </row>
    <row r="76" spans="1:3">
      <c r="A76" s="37">
        <f t="shared" si="1"/>
        <v>193.12100000000001</v>
      </c>
      <c r="B76" s="37">
        <f t="shared" si="2"/>
        <v>54</v>
      </c>
      <c r="C76" s="37">
        <f t="shared" si="0"/>
        <v>147.52382584199603</v>
      </c>
    </row>
    <row r="77" spans="1:3">
      <c r="A77" s="37">
        <f t="shared" si="1"/>
        <v>193.12100000000001</v>
      </c>
      <c r="B77" s="37">
        <f t="shared" si="2"/>
        <v>55</v>
      </c>
      <c r="C77" s="37">
        <f t="shared" si="0"/>
        <v>146.78987645969755</v>
      </c>
    </row>
    <row r="78" spans="1:3">
      <c r="A78" s="37">
        <f t="shared" si="1"/>
        <v>193.12100000000001</v>
      </c>
      <c r="B78" s="37">
        <f t="shared" si="2"/>
        <v>56</v>
      </c>
      <c r="C78" s="37">
        <f t="shared" si="0"/>
        <v>146.05957856686322</v>
      </c>
    </row>
    <row r="79" spans="1:3">
      <c r="A79" s="37">
        <f t="shared" si="1"/>
        <v>193.12100000000001</v>
      </c>
      <c r="B79" s="37">
        <f t="shared" si="2"/>
        <v>57</v>
      </c>
      <c r="C79" s="37">
        <f t="shared" si="0"/>
        <v>145.33291399687886</v>
      </c>
    </row>
    <row r="80" spans="1:3">
      <c r="A80" s="37">
        <f t="shared" si="1"/>
        <v>193.12100000000001</v>
      </c>
      <c r="B80" s="37">
        <f t="shared" si="2"/>
        <v>58</v>
      </c>
      <c r="C80" s="37">
        <f t="shared" si="0"/>
        <v>144.60986467351134</v>
      </c>
    </row>
    <row r="81" spans="1:3">
      <c r="A81" s="37">
        <f t="shared" si="1"/>
        <v>193.12100000000001</v>
      </c>
      <c r="B81" s="37">
        <f t="shared" si="2"/>
        <v>59</v>
      </c>
      <c r="C81" s="37">
        <f t="shared" si="0"/>
        <v>143.89041261045907</v>
      </c>
    </row>
    <row r="82" spans="1:3">
      <c r="A82" s="37">
        <f t="shared" si="1"/>
        <v>193.12100000000001</v>
      </c>
      <c r="B82" s="37">
        <f t="shared" si="2"/>
        <v>60</v>
      </c>
      <c r="C82" s="37">
        <f t="shared" si="0"/>
        <v>143.17453991090457</v>
      </c>
    </row>
    <row r="83" spans="1:3">
      <c r="A83" s="37">
        <f t="shared" si="1"/>
        <v>193.12100000000001</v>
      </c>
      <c r="B83" s="37">
        <f t="shared" si="2"/>
        <v>61</v>
      </c>
      <c r="C83" s="37">
        <f t="shared" si="0"/>
        <v>142.46222876706923</v>
      </c>
    </row>
    <row r="84" spans="1:3">
      <c r="A84" s="37">
        <f t="shared" si="1"/>
        <v>193.12100000000001</v>
      </c>
      <c r="B84" s="37">
        <f t="shared" si="2"/>
        <v>62</v>
      </c>
      <c r="C84" s="37">
        <f t="shared" si="0"/>
        <v>141.75346145977042</v>
      </c>
    </row>
    <row r="85" spans="1:3">
      <c r="A85" s="37">
        <f t="shared" si="1"/>
        <v>193.12100000000001</v>
      </c>
      <c r="B85" s="37">
        <f t="shared" si="2"/>
        <v>63</v>
      </c>
      <c r="C85" s="37">
        <f t="shared" si="0"/>
        <v>141.04822035798054</v>
      </c>
    </row>
    <row r="86" spans="1:3">
      <c r="A86" s="37">
        <f t="shared" si="1"/>
        <v>193.12100000000001</v>
      </c>
      <c r="B86" s="37">
        <f t="shared" si="2"/>
        <v>64</v>
      </c>
      <c r="C86" s="37">
        <f t="shared" si="0"/>
        <v>140.34648791838862</v>
      </c>
    </row>
    <row r="87" spans="1:3">
      <c r="A87" s="37">
        <f t="shared" si="1"/>
        <v>193.12100000000001</v>
      </c>
      <c r="B87" s="37">
        <f t="shared" si="2"/>
        <v>65</v>
      </c>
      <c r="C87" s="37">
        <f t="shared" ref="C87:C142" si="3">A87/(1+0.005)^B87</f>
        <v>139.64824668496379</v>
      </c>
    </row>
    <row r="88" spans="1:3">
      <c r="A88" s="37">
        <f t="shared" ref="A88:A142" si="4">A87</f>
        <v>193.12100000000001</v>
      </c>
      <c r="B88" s="37">
        <f t="shared" ref="B88:B142" si="5">B87+1</f>
        <v>66</v>
      </c>
      <c r="C88" s="37">
        <f t="shared" si="3"/>
        <v>138.95347928852124</v>
      </c>
    </row>
    <row r="89" spans="1:3">
      <c r="A89" s="37">
        <f t="shared" si="4"/>
        <v>193.12100000000001</v>
      </c>
      <c r="B89" s="37">
        <f t="shared" si="5"/>
        <v>67</v>
      </c>
      <c r="C89" s="37">
        <f t="shared" si="3"/>
        <v>138.26216844628979</v>
      </c>
    </row>
    <row r="90" spans="1:3">
      <c r="A90" s="37">
        <f t="shared" si="4"/>
        <v>193.12100000000001</v>
      </c>
      <c r="B90" s="37">
        <f t="shared" si="5"/>
        <v>68</v>
      </c>
      <c r="C90" s="37">
        <f t="shared" si="3"/>
        <v>137.57429696148239</v>
      </c>
    </row>
    <row r="91" spans="1:3">
      <c r="A91" s="37">
        <f t="shared" si="4"/>
        <v>193.12100000000001</v>
      </c>
      <c r="B91" s="37">
        <f t="shared" si="5"/>
        <v>69</v>
      </c>
      <c r="C91" s="37">
        <f t="shared" si="3"/>
        <v>136.8898477228681</v>
      </c>
    </row>
    <row r="92" spans="1:3">
      <c r="A92" s="37">
        <f t="shared" si="4"/>
        <v>193.12100000000001</v>
      </c>
      <c r="B92" s="37">
        <f t="shared" si="5"/>
        <v>70</v>
      </c>
      <c r="C92" s="37">
        <f t="shared" si="3"/>
        <v>136.20880370434639</v>
      </c>
    </row>
    <row r="93" spans="1:3">
      <c r="A93" s="37">
        <f t="shared" si="4"/>
        <v>193.12100000000001</v>
      </c>
      <c r="B93" s="37">
        <f t="shared" si="5"/>
        <v>71</v>
      </c>
      <c r="C93" s="37">
        <f t="shared" si="3"/>
        <v>135.53114796452377</v>
      </c>
    </row>
    <row r="94" spans="1:3">
      <c r="A94" s="37">
        <f t="shared" si="4"/>
        <v>193.12100000000001</v>
      </c>
      <c r="B94" s="37">
        <f t="shared" si="5"/>
        <v>72</v>
      </c>
      <c r="C94" s="37">
        <f t="shared" si="3"/>
        <v>134.85686364629234</v>
      </c>
    </row>
    <row r="95" spans="1:3">
      <c r="A95" s="37">
        <f t="shared" si="4"/>
        <v>193.12100000000001</v>
      </c>
      <c r="B95" s="37">
        <f t="shared" si="5"/>
        <v>73</v>
      </c>
      <c r="C95" s="37">
        <f t="shared" si="3"/>
        <v>134.18593397641027</v>
      </c>
    </row>
    <row r="96" spans="1:3">
      <c r="A96" s="37">
        <f t="shared" si="4"/>
        <v>193.12100000000001</v>
      </c>
      <c r="B96" s="37">
        <f t="shared" si="5"/>
        <v>74</v>
      </c>
      <c r="C96" s="37">
        <f t="shared" si="3"/>
        <v>133.5183422650849</v>
      </c>
    </row>
    <row r="97" spans="1:3">
      <c r="A97" s="37">
        <f t="shared" si="4"/>
        <v>193.12100000000001</v>
      </c>
      <c r="B97" s="37">
        <f t="shared" si="5"/>
        <v>75</v>
      </c>
      <c r="C97" s="37">
        <f t="shared" si="3"/>
        <v>132.85407190555711</v>
      </c>
    </row>
    <row r="98" spans="1:3">
      <c r="A98" s="37">
        <f t="shared" si="4"/>
        <v>193.12100000000001</v>
      </c>
      <c r="B98" s="37">
        <f t="shared" si="5"/>
        <v>76</v>
      </c>
      <c r="C98" s="37">
        <f t="shared" si="3"/>
        <v>132.19310637368872</v>
      </c>
    </row>
    <row r="99" spans="1:3">
      <c r="A99" s="37">
        <f t="shared" si="4"/>
        <v>193.12100000000001</v>
      </c>
      <c r="B99" s="37">
        <f t="shared" si="5"/>
        <v>77</v>
      </c>
      <c r="C99" s="37">
        <f t="shared" si="3"/>
        <v>131.53542922755096</v>
      </c>
    </row>
    <row r="100" spans="1:3">
      <c r="A100" s="37">
        <f t="shared" si="4"/>
        <v>193.12100000000001</v>
      </c>
      <c r="B100" s="37">
        <f t="shared" si="5"/>
        <v>78</v>
      </c>
      <c r="C100" s="37">
        <f t="shared" si="3"/>
        <v>130.88102410701592</v>
      </c>
    </row>
    <row r="101" spans="1:3">
      <c r="A101" s="37">
        <f t="shared" si="4"/>
        <v>193.12100000000001</v>
      </c>
      <c r="B101" s="37">
        <f t="shared" si="5"/>
        <v>79</v>
      </c>
      <c r="C101" s="37">
        <f t="shared" si="3"/>
        <v>130.22987473334922</v>
      </c>
    </row>
    <row r="102" spans="1:3">
      <c r="A102" s="37">
        <f t="shared" si="4"/>
        <v>193.12100000000001</v>
      </c>
      <c r="B102" s="37">
        <f t="shared" si="5"/>
        <v>80</v>
      </c>
      <c r="C102" s="37">
        <f t="shared" si="3"/>
        <v>129.58196490880519</v>
      </c>
    </row>
    <row r="103" spans="1:3">
      <c r="A103" s="37">
        <f t="shared" si="4"/>
        <v>193.12100000000001</v>
      </c>
      <c r="B103" s="37">
        <f t="shared" si="5"/>
        <v>81</v>
      </c>
      <c r="C103" s="37">
        <f t="shared" si="3"/>
        <v>128.93727851622407</v>
      </c>
    </row>
    <row r="104" spans="1:3">
      <c r="A104" s="37">
        <f t="shared" si="4"/>
        <v>193.12100000000001</v>
      </c>
      <c r="B104" s="37">
        <f t="shared" si="5"/>
        <v>82</v>
      </c>
      <c r="C104" s="37">
        <f t="shared" si="3"/>
        <v>128.29579951863096</v>
      </c>
    </row>
    <row r="105" spans="1:3">
      <c r="A105" s="37">
        <f t="shared" si="4"/>
        <v>193.12100000000001</v>
      </c>
      <c r="B105" s="37">
        <f t="shared" si="5"/>
        <v>83</v>
      </c>
      <c r="C105" s="37">
        <f t="shared" si="3"/>
        <v>127.65751195883678</v>
      </c>
    </row>
    <row r="106" spans="1:3">
      <c r="A106" s="37">
        <f t="shared" si="4"/>
        <v>193.12100000000001</v>
      </c>
      <c r="B106" s="37">
        <f t="shared" si="5"/>
        <v>84</v>
      </c>
      <c r="C106" s="37">
        <f t="shared" si="3"/>
        <v>127.02239995904158</v>
      </c>
    </row>
    <row r="107" spans="1:3">
      <c r="A107" s="37">
        <f t="shared" si="4"/>
        <v>193.12100000000001</v>
      </c>
      <c r="B107" s="37">
        <f t="shared" si="5"/>
        <v>85</v>
      </c>
      <c r="C107" s="37">
        <f t="shared" si="3"/>
        <v>126.39044772043943</v>
      </c>
    </row>
    <row r="108" spans="1:3">
      <c r="A108" s="37">
        <f t="shared" si="4"/>
        <v>193.12100000000001</v>
      </c>
      <c r="B108" s="37">
        <f t="shared" si="5"/>
        <v>86</v>
      </c>
      <c r="C108" s="37">
        <f t="shared" si="3"/>
        <v>125.76163952282532</v>
      </c>
    </row>
    <row r="109" spans="1:3">
      <c r="A109" s="37">
        <f t="shared" si="4"/>
        <v>193.12100000000001</v>
      </c>
      <c r="B109" s="37">
        <f t="shared" si="5"/>
        <v>87</v>
      </c>
      <c r="C109" s="37">
        <f t="shared" si="3"/>
        <v>125.13595972420433</v>
      </c>
    </row>
    <row r="110" spans="1:3">
      <c r="A110" s="37">
        <f t="shared" si="4"/>
        <v>193.12100000000001</v>
      </c>
      <c r="B110" s="37">
        <f t="shared" si="5"/>
        <v>88</v>
      </c>
      <c r="C110" s="37">
        <f t="shared" si="3"/>
        <v>124.5133927604023</v>
      </c>
    </row>
    <row r="111" spans="1:3">
      <c r="A111" s="37">
        <f t="shared" si="4"/>
        <v>193.12100000000001</v>
      </c>
      <c r="B111" s="37">
        <f t="shared" si="5"/>
        <v>89</v>
      </c>
      <c r="C111" s="37">
        <f t="shared" si="3"/>
        <v>123.89392314467892</v>
      </c>
    </row>
    <row r="112" spans="1:3">
      <c r="A112" s="37">
        <f t="shared" si="4"/>
        <v>193.12100000000001</v>
      </c>
      <c r="B112" s="37">
        <f t="shared" si="5"/>
        <v>90</v>
      </c>
      <c r="C112" s="37">
        <f t="shared" si="3"/>
        <v>123.27753546734223</v>
      </c>
    </row>
    <row r="113" spans="1:3">
      <c r="A113" s="37">
        <f t="shared" si="4"/>
        <v>193.12100000000001</v>
      </c>
      <c r="B113" s="37">
        <f t="shared" si="5"/>
        <v>91</v>
      </c>
      <c r="C113" s="37">
        <f t="shared" si="3"/>
        <v>122.66421439536542</v>
      </c>
    </row>
    <row r="114" spans="1:3">
      <c r="A114" s="37">
        <f t="shared" si="4"/>
        <v>193.12100000000001</v>
      </c>
      <c r="B114" s="37">
        <f t="shared" si="5"/>
        <v>92</v>
      </c>
      <c r="C114" s="37">
        <f t="shared" si="3"/>
        <v>122.05394467200543</v>
      </c>
    </row>
    <row r="115" spans="1:3">
      <c r="A115" s="37">
        <f t="shared" si="4"/>
        <v>193.12100000000001</v>
      </c>
      <c r="B115" s="37">
        <f t="shared" si="5"/>
        <v>93</v>
      </c>
      <c r="C115" s="37">
        <f t="shared" si="3"/>
        <v>121.44671111642333</v>
      </c>
    </row>
    <row r="116" spans="1:3">
      <c r="A116" s="37">
        <f t="shared" si="4"/>
        <v>193.12100000000001</v>
      </c>
      <c r="B116" s="37">
        <f t="shared" si="5"/>
        <v>94</v>
      </c>
      <c r="C116" s="37">
        <f t="shared" si="3"/>
        <v>120.84249862330681</v>
      </c>
    </row>
    <row r="117" spans="1:3">
      <c r="A117" s="37">
        <f t="shared" si="4"/>
        <v>193.12100000000001</v>
      </c>
      <c r="B117" s="37">
        <f t="shared" si="5"/>
        <v>95</v>
      </c>
      <c r="C117" s="37">
        <f t="shared" si="3"/>
        <v>120.24129216249437</v>
      </c>
    </row>
    <row r="118" spans="1:3">
      <c r="A118" s="37">
        <f t="shared" si="4"/>
        <v>193.12100000000001</v>
      </c>
      <c r="B118" s="37">
        <f t="shared" si="5"/>
        <v>96</v>
      </c>
      <c r="C118" s="37">
        <f t="shared" si="3"/>
        <v>119.64307677860137</v>
      </c>
    </row>
    <row r="119" spans="1:3">
      <c r="A119" s="37">
        <f t="shared" si="4"/>
        <v>193.12100000000001</v>
      </c>
      <c r="B119" s="37">
        <f t="shared" si="5"/>
        <v>97</v>
      </c>
      <c r="C119" s="37">
        <f t="shared" si="3"/>
        <v>119.04783759064816</v>
      </c>
    </row>
    <row r="120" spans="1:3">
      <c r="A120" s="37">
        <f t="shared" si="4"/>
        <v>193.12100000000001</v>
      </c>
      <c r="B120" s="37">
        <f t="shared" si="5"/>
        <v>98</v>
      </c>
      <c r="C120" s="37">
        <f t="shared" si="3"/>
        <v>118.45555979168972</v>
      </c>
    </row>
    <row r="121" spans="1:3">
      <c r="A121" s="37">
        <f t="shared" si="4"/>
        <v>193.12100000000001</v>
      </c>
      <c r="B121" s="37">
        <f t="shared" si="5"/>
        <v>99</v>
      </c>
      <c r="C121" s="37">
        <f t="shared" si="3"/>
        <v>117.86622864844749</v>
      </c>
    </row>
    <row r="122" spans="1:3">
      <c r="A122" s="37">
        <f t="shared" si="4"/>
        <v>193.12100000000001</v>
      </c>
      <c r="B122" s="37">
        <f t="shared" si="5"/>
        <v>100</v>
      </c>
      <c r="C122" s="37">
        <f t="shared" si="3"/>
        <v>117.27982950094281</v>
      </c>
    </row>
    <row r="123" spans="1:3">
      <c r="A123" s="37">
        <f t="shared" si="4"/>
        <v>193.12100000000001</v>
      </c>
      <c r="B123" s="37">
        <f t="shared" si="5"/>
        <v>101</v>
      </c>
      <c r="C123" s="37">
        <f t="shared" si="3"/>
        <v>116.69634776213218</v>
      </c>
    </row>
    <row r="124" spans="1:3">
      <c r="A124" s="37">
        <f t="shared" si="4"/>
        <v>193.12100000000001</v>
      </c>
      <c r="B124" s="37">
        <f t="shared" si="5"/>
        <v>102</v>
      </c>
      <c r="C124" s="37">
        <f t="shared" si="3"/>
        <v>116.11576891754447</v>
      </c>
    </row>
    <row r="125" spans="1:3">
      <c r="A125" s="37">
        <f t="shared" si="4"/>
        <v>193.12100000000001</v>
      </c>
      <c r="B125" s="37">
        <f t="shared" si="5"/>
        <v>103</v>
      </c>
      <c r="C125" s="37">
        <f t="shared" si="3"/>
        <v>115.53807852491987</v>
      </c>
    </row>
    <row r="126" spans="1:3">
      <c r="A126" s="37">
        <f t="shared" si="4"/>
        <v>193.12100000000001</v>
      </c>
      <c r="B126" s="37">
        <f t="shared" si="5"/>
        <v>104</v>
      </c>
      <c r="C126" s="37">
        <f t="shared" si="3"/>
        <v>114.96326221385063</v>
      </c>
    </row>
    <row r="127" spans="1:3">
      <c r="A127" s="37">
        <f t="shared" si="4"/>
        <v>193.12100000000001</v>
      </c>
      <c r="B127" s="37">
        <f t="shared" si="5"/>
        <v>105</v>
      </c>
      <c r="C127" s="37">
        <f t="shared" si="3"/>
        <v>114.39130568542353</v>
      </c>
    </row>
    <row r="128" spans="1:3">
      <c r="A128" s="37">
        <f t="shared" si="4"/>
        <v>193.12100000000001</v>
      </c>
      <c r="B128" s="37">
        <f t="shared" si="5"/>
        <v>106</v>
      </c>
      <c r="C128" s="37">
        <f t="shared" si="3"/>
        <v>113.82219471186424</v>
      </c>
    </row>
    <row r="129" spans="1:7">
      <c r="A129" s="37">
        <f t="shared" si="4"/>
        <v>193.12100000000001</v>
      </c>
      <c r="B129" s="37">
        <f t="shared" si="5"/>
        <v>107</v>
      </c>
      <c r="C129" s="37">
        <f t="shared" si="3"/>
        <v>113.25591513618332</v>
      </c>
    </row>
    <row r="130" spans="1:7">
      <c r="A130" s="37">
        <f t="shared" si="4"/>
        <v>193.12100000000001</v>
      </c>
      <c r="B130" s="37">
        <f t="shared" si="5"/>
        <v>108</v>
      </c>
      <c r="C130" s="37">
        <f t="shared" si="3"/>
        <v>112.69245287182423</v>
      </c>
    </row>
    <row r="131" spans="1:7">
      <c r="A131" s="37">
        <f t="shared" si="4"/>
        <v>193.12100000000001</v>
      </c>
      <c r="B131" s="37">
        <f t="shared" si="5"/>
        <v>109</v>
      </c>
      <c r="C131" s="37">
        <f t="shared" si="3"/>
        <v>112.13179390231269</v>
      </c>
    </row>
    <row r="132" spans="1:7">
      <c r="A132" s="37">
        <f t="shared" si="4"/>
        <v>193.12100000000001</v>
      </c>
      <c r="B132" s="37">
        <f t="shared" si="5"/>
        <v>110</v>
      </c>
      <c r="C132" s="37">
        <f t="shared" si="3"/>
        <v>111.57392428090816</v>
      </c>
    </row>
    <row r="133" spans="1:7">
      <c r="A133" s="37">
        <f t="shared" si="4"/>
        <v>193.12100000000001</v>
      </c>
      <c r="B133" s="37">
        <f t="shared" si="5"/>
        <v>111</v>
      </c>
      <c r="C133" s="37">
        <f t="shared" si="3"/>
        <v>111.01883013025692</v>
      </c>
    </row>
    <row r="134" spans="1:7">
      <c r="A134" s="37">
        <f t="shared" si="4"/>
        <v>193.12100000000001</v>
      </c>
      <c r="B134" s="37">
        <f t="shared" si="5"/>
        <v>112</v>
      </c>
      <c r="C134" s="37">
        <f t="shared" si="3"/>
        <v>110.46649764204669</v>
      </c>
    </row>
    <row r="135" spans="1:7">
      <c r="A135" s="37">
        <f t="shared" si="4"/>
        <v>193.12100000000001</v>
      </c>
      <c r="B135" s="37">
        <f t="shared" si="5"/>
        <v>113</v>
      </c>
      <c r="C135" s="37">
        <f t="shared" si="3"/>
        <v>109.91691307666336</v>
      </c>
    </row>
    <row r="136" spans="1:7">
      <c r="A136" s="37">
        <f t="shared" si="4"/>
        <v>193.12100000000001</v>
      </c>
      <c r="B136" s="37">
        <f t="shared" si="5"/>
        <v>114</v>
      </c>
      <c r="C136" s="37">
        <f t="shared" si="3"/>
        <v>109.37006276284917</v>
      </c>
    </row>
    <row r="137" spans="1:7">
      <c r="A137" s="37">
        <f t="shared" si="4"/>
        <v>193.12100000000001</v>
      </c>
      <c r="B137" s="37">
        <f t="shared" si="5"/>
        <v>115</v>
      </c>
      <c r="C137" s="37">
        <f t="shared" si="3"/>
        <v>108.82593309736235</v>
      </c>
    </row>
    <row r="138" spans="1:7">
      <c r="A138" s="37">
        <f t="shared" si="4"/>
        <v>193.12100000000001</v>
      </c>
      <c r="B138" s="37">
        <f t="shared" si="5"/>
        <v>116</v>
      </c>
      <c r="C138" s="37">
        <f t="shared" si="3"/>
        <v>108.28451054463918</v>
      </c>
    </row>
    <row r="139" spans="1:7">
      <c r="A139" s="37">
        <f t="shared" si="4"/>
        <v>193.12100000000001</v>
      </c>
      <c r="B139" s="37">
        <f t="shared" si="5"/>
        <v>117</v>
      </c>
      <c r="C139" s="37">
        <f t="shared" si="3"/>
        <v>107.74578163645691</v>
      </c>
    </row>
    <row r="140" spans="1:7">
      <c r="A140" s="37">
        <f t="shared" si="4"/>
        <v>193.12100000000001</v>
      </c>
      <c r="B140" s="37">
        <f t="shared" si="5"/>
        <v>118</v>
      </c>
      <c r="C140" s="37">
        <f t="shared" si="3"/>
        <v>107.20973297159895</v>
      </c>
    </row>
    <row r="141" spans="1:7">
      <c r="A141" s="37">
        <f t="shared" si="4"/>
        <v>193.12100000000001</v>
      </c>
      <c r="B141" s="37">
        <f t="shared" si="5"/>
        <v>119</v>
      </c>
      <c r="C141" s="37">
        <f t="shared" si="3"/>
        <v>106.67635121552134</v>
      </c>
    </row>
    <row r="142" spans="1:7">
      <c r="A142" s="37">
        <f t="shared" si="4"/>
        <v>193.12100000000001</v>
      </c>
      <c r="B142" s="37">
        <f t="shared" si="5"/>
        <v>120</v>
      </c>
      <c r="C142" s="37">
        <f t="shared" si="3"/>
        <v>106.14562310002124</v>
      </c>
    </row>
    <row r="143" spans="1:7">
      <c r="A143" s="43" t="s">
        <v>317</v>
      </c>
      <c r="B143" s="43"/>
      <c r="C143" s="43">
        <f>SUM(C23:C142)</f>
        <v>17395.075379996284</v>
      </c>
      <c r="D143" s="41" t="s">
        <v>318</v>
      </c>
      <c r="E143" s="41"/>
      <c r="F143" s="41"/>
      <c r="G143" s="41"/>
    </row>
  </sheetData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A2" sqref="A2"/>
    </sheetView>
  </sheetViews>
  <sheetFormatPr defaultRowHeight="12.75"/>
  <cols>
    <col min="1" max="1" width="3" style="37" customWidth="1"/>
    <col min="2" max="2" width="7.7109375" style="37" customWidth="1"/>
    <col min="3" max="3" width="10.42578125" style="37" customWidth="1"/>
    <col min="4" max="4" width="11.85546875" style="37" customWidth="1"/>
    <col min="5" max="256" width="9.140625" style="37"/>
    <col min="257" max="257" width="3" style="37" customWidth="1"/>
    <col min="258" max="258" width="7.7109375" style="37" customWidth="1"/>
    <col min="259" max="259" width="10.42578125" style="37" customWidth="1"/>
    <col min="260" max="260" width="11.85546875" style="37" customWidth="1"/>
    <col min="261" max="512" width="9.140625" style="37"/>
    <col min="513" max="513" width="3" style="37" customWidth="1"/>
    <col min="514" max="514" width="7.7109375" style="37" customWidth="1"/>
    <col min="515" max="515" width="10.42578125" style="37" customWidth="1"/>
    <col min="516" max="516" width="11.85546875" style="37" customWidth="1"/>
    <col min="517" max="768" width="9.140625" style="37"/>
    <col min="769" max="769" width="3" style="37" customWidth="1"/>
    <col min="770" max="770" width="7.7109375" style="37" customWidth="1"/>
    <col min="771" max="771" width="10.42578125" style="37" customWidth="1"/>
    <col min="772" max="772" width="11.85546875" style="37" customWidth="1"/>
    <col min="773" max="1024" width="9.140625" style="37"/>
    <col min="1025" max="1025" width="3" style="37" customWidth="1"/>
    <col min="1026" max="1026" width="7.7109375" style="37" customWidth="1"/>
    <col min="1027" max="1027" width="10.42578125" style="37" customWidth="1"/>
    <col min="1028" max="1028" width="11.85546875" style="37" customWidth="1"/>
    <col min="1029" max="1280" width="9.140625" style="37"/>
    <col min="1281" max="1281" width="3" style="37" customWidth="1"/>
    <col min="1282" max="1282" width="7.7109375" style="37" customWidth="1"/>
    <col min="1283" max="1283" width="10.42578125" style="37" customWidth="1"/>
    <col min="1284" max="1284" width="11.85546875" style="37" customWidth="1"/>
    <col min="1285" max="1536" width="9.140625" style="37"/>
    <col min="1537" max="1537" width="3" style="37" customWidth="1"/>
    <col min="1538" max="1538" width="7.7109375" style="37" customWidth="1"/>
    <col min="1539" max="1539" width="10.42578125" style="37" customWidth="1"/>
    <col min="1540" max="1540" width="11.85546875" style="37" customWidth="1"/>
    <col min="1541" max="1792" width="9.140625" style="37"/>
    <col min="1793" max="1793" width="3" style="37" customWidth="1"/>
    <col min="1794" max="1794" width="7.7109375" style="37" customWidth="1"/>
    <col min="1795" max="1795" width="10.42578125" style="37" customWidth="1"/>
    <col min="1796" max="1796" width="11.85546875" style="37" customWidth="1"/>
    <col min="1797" max="2048" width="9.140625" style="37"/>
    <col min="2049" max="2049" width="3" style="37" customWidth="1"/>
    <col min="2050" max="2050" width="7.7109375" style="37" customWidth="1"/>
    <col min="2051" max="2051" width="10.42578125" style="37" customWidth="1"/>
    <col min="2052" max="2052" width="11.85546875" style="37" customWidth="1"/>
    <col min="2053" max="2304" width="9.140625" style="37"/>
    <col min="2305" max="2305" width="3" style="37" customWidth="1"/>
    <col min="2306" max="2306" width="7.7109375" style="37" customWidth="1"/>
    <col min="2307" max="2307" width="10.42578125" style="37" customWidth="1"/>
    <col min="2308" max="2308" width="11.85546875" style="37" customWidth="1"/>
    <col min="2309" max="2560" width="9.140625" style="37"/>
    <col min="2561" max="2561" width="3" style="37" customWidth="1"/>
    <col min="2562" max="2562" width="7.7109375" style="37" customWidth="1"/>
    <col min="2563" max="2563" width="10.42578125" style="37" customWidth="1"/>
    <col min="2564" max="2564" width="11.85546875" style="37" customWidth="1"/>
    <col min="2565" max="2816" width="9.140625" style="37"/>
    <col min="2817" max="2817" width="3" style="37" customWidth="1"/>
    <col min="2818" max="2818" width="7.7109375" style="37" customWidth="1"/>
    <col min="2819" max="2819" width="10.42578125" style="37" customWidth="1"/>
    <col min="2820" max="2820" width="11.85546875" style="37" customWidth="1"/>
    <col min="2821" max="3072" width="9.140625" style="37"/>
    <col min="3073" max="3073" width="3" style="37" customWidth="1"/>
    <col min="3074" max="3074" width="7.7109375" style="37" customWidth="1"/>
    <col min="3075" max="3075" width="10.42578125" style="37" customWidth="1"/>
    <col min="3076" max="3076" width="11.85546875" style="37" customWidth="1"/>
    <col min="3077" max="3328" width="9.140625" style="37"/>
    <col min="3329" max="3329" width="3" style="37" customWidth="1"/>
    <col min="3330" max="3330" width="7.7109375" style="37" customWidth="1"/>
    <col min="3331" max="3331" width="10.42578125" style="37" customWidth="1"/>
    <col min="3332" max="3332" width="11.85546875" style="37" customWidth="1"/>
    <col min="3333" max="3584" width="9.140625" style="37"/>
    <col min="3585" max="3585" width="3" style="37" customWidth="1"/>
    <col min="3586" max="3586" width="7.7109375" style="37" customWidth="1"/>
    <col min="3587" max="3587" width="10.42578125" style="37" customWidth="1"/>
    <col min="3588" max="3588" width="11.85546875" style="37" customWidth="1"/>
    <col min="3589" max="3840" width="9.140625" style="37"/>
    <col min="3841" max="3841" width="3" style="37" customWidth="1"/>
    <col min="3842" max="3842" width="7.7109375" style="37" customWidth="1"/>
    <col min="3843" max="3843" width="10.42578125" style="37" customWidth="1"/>
    <col min="3844" max="3844" width="11.85546875" style="37" customWidth="1"/>
    <col min="3845" max="4096" width="9.140625" style="37"/>
    <col min="4097" max="4097" width="3" style="37" customWidth="1"/>
    <col min="4098" max="4098" width="7.7109375" style="37" customWidth="1"/>
    <col min="4099" max="4099" width="10.42578125" style="37" customWidth="1"/>
    <col min="4100" max="4100" width="11.85546875" style="37" customWidth="1"/>
    <col min="4101" max="4352" width="9.140625" style="37"/>
    <col min="4353" max="4353" width="3" style="37" customWidth="1"/>
    <col min="4354" max="4354" width="7.7109375" style="37" customWidth="1"/>
    <col min="4355" max="4355" width="10.42578125" style="37" customWidth="1"/>
    <col min="4356" max="4356" width="11.85546875" style="37" customWidth="1"/>
    <col min="4357" max="4608" width="9.140625" style="37"/>
    <col min="4609" max="4609" width="3" style="37" customWidth="1"/>
    <col min="4610" max="4610" width="7.7109375" style="37" customWidth="1"/>
    <col min="4611" max="4611" width="10.42578125" style="37" customWidth="1"/>
    <col min="4612" max="4612" width="11.85546875" style="37" customWidth="1"/>
    <col min="4613" max="4864" width="9.140625" style="37"/>
    <col min="4865" max="4865" width="3" style="37" customWidth="1"/>
    <col min="4866" max="4866" width="7.7109375" style="37" customWidth="1"/>
    <col min="4867" max="4867" width="10.42578125" style="37" customWidth="1"/>
    <col min="4868" max="4868" width="11.85546875" style="37" customWidth="1"/>
    <col min="4869" max="5120" width="9.140625" style="37"/>
    <col min="5121" max="5121" width="3" style="37" customWidth="1"/>
    <col min="5122" max="5122" width="7.7109375" style="37" customWidth="1"/>
    <col min="5123" max="5123" width="10.42578125" style="37" customWidth="1"/>
    <col min="5124" max="5124" width="11.85546875" style="37" customWidth="1"/>
    <col min="5125" max="5376" width="9.140625" style="37"/>
    <col min="5377" max="5377" width="3" style="37" customWidth="1"/>
    <col min="5378" max="5378" width="7.7109375" style="37" customWidth="1"/>
    <col min="5379" max="5379" width="10.42578125" style="37" customWidth="1"/>
    <col min="5380" max="5380" width="11.85546875" style="37" customWidth="1"/>
    <col min="5381" max="5632" width="9.140625" style="37"/>
    <col min="5633" max="5633" width="3" style="37" customWidth="1"/>
    <col min="5634" max="5634" width="7.7109375" style="37" customWidth="1"/>
    <col min="5635" max="5635" width="10.42578125" style="37" customWidth="1"/>
    <col min="5636" max="5636" width="11.85546875" style="37" customWidth="1"/>
    <col min="5637" max="5888" width="9.140625" style="37"/>
    <col min="5889" max="5889" width="3" style="37" customWidth="1"/>
    <col min="5890" max="5890" width="7.7109375" style="37" customWidth="1"/>
    <col min="5891" max="5891" width="10.42578125" style="37" customWidth="1"/>
    <col min="5892" max="5892" width="11.85546875" style="37" customWidth="1"/>
    <col min="5893" max="6144" width="9.140625" style="37"/>
    <col min="6145" max="6145" width="3" style="37" customWidth="1"/>
    <col min="6146" max="6146" width="7.7109375" style="37" customWidth="1"/>
    <col min="6147" max="6147" width="10.42578125" style="37" customWidth="1"/>
    <col min="6148" max="6148" width="11.85546875" style="37" customWidth="1"/>
    <col min="6149" max="6400" width="9.140625" style="37"/>
    <col min="6401" max="6401" width="3" style="37" customWidth="1"/>
    <col min="6402" max="6402" width="7.7109375" style="37" customWidth="1"/>
    <col min="6403" max="6403" width="10.42578125" style="37" customWidth="1"/>
    <col min="6404" max="6404" width="11.85546875" style="37" customWidth="1"/>
    <col min="6405" max="6656" width="9.140625" style="37"/>
    <col min="6657" max="6657" width="3" style="37" customWidth="1"/>
    <col min="6658" max="6658" width="7.7109375" style="37" customWidth="1"/>
    <col min="6659" max="6659" width="10.42578125" style="37" customWidth="1"/>
    <col min="6660" max="6660" width="11.85546875" style="37" customWidth="1"/>
    <col min="6661" max="6912" width="9.140625" style="37"/>
    <col min="6913" max="6913" width="3" style="37" customWidth="1"/>
    <col min="6914" max="6914" width="7.7109375" style="37" customWidth="1"/>
    <col min="6915" max="6915" width="10.42578125" style="37" customWidth="1"/>
    <col min="6916" max="6916" width="11.85546875" style="37" customWidth="1"/>
    <col min="6917" max="7168" width="9.140625" style="37"/>
    <col min="7169" max="7169" width="3" style="37" customWidth="1"/>
    <col min="7170" max="7170" width="7.7109375" style="37" customWidth="1"/>
    <col min="7171" max="7171" width="10.42578125" style="37" customWidth="1"/>
    <col min="7172" max="7172" width="11.85546875" style="37" customWidth="1"/>
    <col min="7173" max="7424" width="9.140625" style="37"/>
    <col min="7425" max="7425" width="3" style="37" customWidth="1"/>
    <col min="7426" max="7426" width="7.7109375" style="37" customWidth="1"/>
    <col min="7427" max="7427" width="10.42578125" style="37" customWidth="1"/>
    <col min="7428" max="7428" width="11.85546875" style="37" customWidth="1"/>
    <col min="7429" max="7680" width="9.140625" style="37"/>
    <col min="7681" max="7681" width="3" style="37" customWidth="1"/>
    <col min="7682" max="7682" width="7.7109375" style="37" customWidth="1"/>
    <col min="7683" max="7683" width="10.42578125" style="37" customWidth="1"/>
    <col min="7684" max="7684" width="11.85546875" style="37" customWidth="1"/>
    <col min="7685" max="7936" width="9.140625" style="37"/>
    <col min="7937" max="7937" width="3" style="37" customWidth="1"/>
    <col min="7938" max="7938" width="7.7109375" style="37" customWidth="1"/>
    <col min="7939" max="7939" width="10.42578125" style="37" customWidth="1"/>
    <col min="7940" max="7940" width="11.85546875" style="37" customWidth="1"/>
    <col min="7941" max="8192" width="9.140625" style="37"/>
    <col min="8193" max="8193" width="3" style="37" customWidth="1"/>
    <col min="8194" max="8194" width="7.7109375" style="37" customWidth="1"/>
    <col min="8195" max="8195" width="10.42578125" style="37" customWidth="1"/>
    <col min="8196" max="8196" width="11.85546875" style="37" customWidth="1"/>
    <col min="8197" max="8448" width="9.140625" style="37"/>
    <col min="8449" max="8449" width="3" style="37" customWidth="1"/>
    <col min="8450" max="8450" width="7.7109375" style="37" customWidth="1"/>
    <col min="8451" max="8451" width="10.42578125" style="37" customWidth="1"/>
    <col min="8452" max="8452" width="11.85546875" style="37" customWidth="1"/>
    <col min="8453" max="8704" width="9.140625" style="37"/>
    <col min="8705" max="8705" width="3" style="37" customWidth="1"/>
    <col min="8706" max="8706" width="7.7109375" style="37" customWidth="1"/>
    <col min="8707" max="8707" width="10.42578125" style="37" customWidth="1"/>
    <col min="8708" max="8708" width="11.85546875" style="37" customWidth="1"/>
    <col min="8709" max="8960" width="9.140625" style="37"/>
    <col min="8961" max="8961" width="3" style="37" customWidth="1"/>
    <col min="8962" max="8962" width="7.7109375" style="37" customWidth="1"/>
    <col min="8963" max="8963" width="10.42578125" style="37" customWidth="1"/>
    <col min="8964" max="8964" width="11.85546875" style="37" customWidth="1"/>
    <col min="8965" max="9216" width="9.140625" style="37"/>
    <col min="9217" max="9217" width="3" style="37" customWidth="1"/>
    <col min="9218" max="9218" width="7.7109375" style="37" customWidth="1"/>
    <col min="9219" max="9219" width="10.42578125" style="37" customWidth="1"/>
    <col min="9220" max="9220" width="11.85546875" style="37" customWidth="1"/>
    <col min="9221" max="9472" width="9.140625" style="37"/>
    <col min="9473" max="9473" width="3" style="37" customWidth="1"/>
    <col min="9474" max="9474" width="7.7109375" style="37" customWidth="1"/>
    <col min="9475" max="9475" width="10.42578125" style="37" customWidth="1"/>
    <col min="9476" max="9476" width="11.85546875" style="37" customWidth="1"/>
    <col min="9477" max="9728" width="9.140625" style="37"/>
    <col min="9729" max="9729" width="3" style="37" customWidth="1"/>
    <col min="9730" max="9730" width="7.7109375" style="37" customWidth="1"/>
    <col min="9731" max="9731" width="10.42578125" style="37" customWidth="1"/>
    <col min="9732" max="9732" width="11.85546875" style="37" customWidth="1"/>
    <col min="9733" max="9984" width="9.140625" style="37"/>
    <col min="9985" max="9985" width="3" style="37" customWidth="1"/>
    <col min="9986" max="9986" width="7.7109375" style="37" customWidth="1"/>
    <col min="9987" max="9987" width="10.42578125" style="37" customWidth="1"/>
    <col min="9988" max="9988" width="11.85546875" style="37" customWidth="1"/>
    <col min="9989" max="10240" width="9.140625" style="37"/>
    <col min="10241" max="10241" width="3" style="37" customWidth="1"/>
    <col min="10242" max="10242" width="7.7109375" style="37" customWidth="1"/>
    <col min="10243" max="10243" width="10.42578125" style="37" customWidth="1"/>
    <col min="10244" max="10244" width="11.85546875" style="37" customWidth="1"/>
    <col min="10245" max="10496" width="9.140625" style="37"/>
    <col min="10497" max="10497" width="3" style="37" customWidth="1"/>
    <col min="10498" max="10498" width="7.7109375" style="37" customWidth="1"/>
    <col min="10499" max="10499" width="10.42578125" style="37" customWidth="1"/>
    <col min="10500" max="10500" width="11.85546875" style="37" customWidth="1"/>
    <col min="10501" max="10752" width="9.140625" style="37"/>
    <col min="10753" max="10753" width="3" style="37" customWidth="1"/>
    <col min="10754" max="10754" width="7.7109375" style="37" customWidth="1"/>
    <col min="10755" max="10755" width="10.42578125" style="37" customWidth="1"/>
    <col min="10756" max="10756" width="11.85546875" style="37" customWidth="1"/>
    <col min="10757" max="11008" width="9.140625" style="37"/>
    <col min="11009" max="11009" width="3" style="37" customWidth="1"/>
    <col min="11010" max="11010" width="7.7109375" style="37" customWidth="1"/>
    <col min="11011" max="11011" width="10.42578125" style="37" customWidth="1"/>
    <col min="11012" max="11012" width="11.85546875" style="37" customWidth="1"/>
    <col min="11013" max="11264" width="9.140625" style="37"/>
    <col min="11265" max="11265" width="3" style="37" customWidth="1"/>
    <col min="11266" max="11266" width="7.7109375" style="37" customWidth="1"/>
    <col min="11267" max="11267" width="10.42578125" style="37" customWidth="1"/>
    <col min="11268" max="11268" width="11.85546875" style="37" customWidth="1"/>
    <col min="11269" max="11520" width="9.140625" style="37"/>
    <col min="11521" max="11521" width="3" style="37" customWidth="1"/>
    <col min="11522" max="11522" width="7.7109375" style="37" customWidth="1"/>
    <col min="11523" max="11523" width="10.42578125" style="37" customWidth="1"/>
    <col min="11524" max="11524" width="11.85546875" style="37" customWidth="1"/>
    <col min="11525" max="11776" width="9.140625" style="37"/>
    <col min="11777" max="11777" width="3" style="37" customWidth="1"/>
    <col min="11778" max="11778" width="7.7109375" style="37" customWidth="1"/>
    <col min="11779" max="11779" width="10.42578125" style="37" customWidth="1"/>
    <col min="11780" max="11780" width="11.85546875" style="37" customWidth="1"/>
    <col min="11781" max="12032" width="9.140625" style="37"/>
    <col min="12033" max="12033" width="3" style="37" customWidth="1"/>
    <col min="12034" max="12034" width="7.7109375" style="37" customWidth="1"/>
    <col min="12035" max="12035" width="10.42578125" style="37" customWidth="1"/>
    <col min="12036" max="12036" width="11.85546875" style="37" customWidth="1"/>
    <col min="12037" max="12288" width="9.140625" style="37"/>
    <col min="12289" max="12289" width="3" style="37" customWidth="1"/>
    <col min="12290" max="12290" width="7.7109375" style="37" customWidth="1"/>
    <col min="12291" max="12291" width="10.42578125" style="37" customWidth="1"/>
    <col min="12292" max="12292" width="11.85546875" style="37" customWidth="1"/>
    <col min="12293" max="12544" width="9.140625" style="37"/>
    <col min="12545" max="12545" width="3" style="37" customWidth="1"/>
    <col min="12546" max="12546" width="7.7109375" style="37" customWidth="1"/>
    <col min="12547" max="12547" width="10.42578125" style="37" customWidth="1"/>
    <col min="12548" max="12548" width="11.85546875" style="37" customWidth="1"/>
    <col min="12549" max="12800" width="9.140625" style="37"/>
    <col min="12801" max="12801" width="3" style="37" customWidth="1"/>
    <col min="12802" max="12802" width="7.7109375" style="37" customWidth="1"/>
    <col min="12803" max="12803" width="10.42578125" style="37" customWidth="1"/>
    <col min="12804" max="12804" width="11.85546875" style="37" customWidth="1"/>
    <col min="12805" max="13056" width="9.140625" style="37"/>
    <col min="13057" max="13057" width="3" style="37" customWidth="1"/>
    <col min="13058" max="13058" width="7.7109375" style="37" customWidth="1"/>
    <col min="13059" max="13059" width="10.42578125" style="37" customWidth="1"/>
    <col min="13060" max="13060" width="11.85546875" style="37" customWidth="1"/>
    <col min="13061" max="13312" width="9.140625" style="37"/>
    <col min="13313" max="13313" width="3" style="37" customWidth="1"/>
    <col min="13314" max="13314" width="7.7109375" style="37" customWidth="1"/>
    <col min="13315" max="13315" width="10.42578125" style="37" customWidth="1"/>
    <col min="13316" max="13316" width="11.85546875" style="37" customWidth="1"/>
    <col min="13317" max="13568" width="9.140625" style="37"/>
    <col min="13569" max="13569" width="3" style="37" customWidth="1"/>
    <col min="13570" max="13570" width="7.7109375" style="37" customWidth="1"/>
    <col min="13571" max="13571" width="10.42578125" style="37" customWidth="1"/>
    <col min="13572" max="13572" width="11.85546875" style="37" customWidth="1"/>
    <col min="13573" max="13824" width="9.140625" style="37"/>
    <col min="13825" max="13825" width="3" style="37" customWidth="1"/>
    <col min="13826" max="13826" width="7.7109375" style="37" customWidth="1"/>
    <col min="13827" max="13827" width="10.42578125" style="37" customWidth="1"/>
    <col min="13828" max="13828" width="11.85546875" style="37" customWidth="1"/>
    <col min="13829" max="14080" width="9.140625" style="37"/>
    <col min="14081" max="14081" width="3" style="37" customWidth="1"/>
    <col min="14082" max="14082" width="7.7109375" style="37" customWidth="1"/>
    <col min="14083" max="14083" width="10.42578125" style="37" customWidth="1"/>
    <col min="14084" max="14084" width="11.85546875" style="37" customWidth="1"/>
    <col min="14085" max="14336" width="9.140625" style="37"/>
    <col min="14337" max="14337" width="3" style="37" customWidth="1"/>
    <col min="14338" max="14338" width="7.7109375" style="37" customWidth="1"/>
    <col min="14339" max="14339" width="10.42578125" style="37" customWidth="1"/>
    <col min="14340" max="14340" width="11.85546875" style="37" customWidth="1"/>
    <col min="14341" max="14592" width="9.140625" style="37"/>
    <col min="14593" max="14593" width="3" style="37" customWidth="1"/>
    <col min="14594" max="14594" width="7.7109375" style="37" customWidth="1"/>
    <col min="14595" max="14595" width="10.42578125" style="37" customWidth="1"/>
    <col min="14596" max="14596" width="11.85546875" style="37" customWidth="1"/>
    <col min="14597" max="14848" width="9.140625" style="37"/>
    <col min="14849" max="14849" width="3" style="37" customWidth="1"/>
    <col min="14850" max="14850" width="7.7109375" style="37" customWidth="1"/>
    <col min="14851" max="14851" width="10.42578125" style="37" customWidth="1"/>
    <col min="14852" max="14852" width="11.85546875" style="37" customWidth="1"/>
    <col min="14853" max="15104" width="9.140625" style="37"/>
    <col min="15105" max="15105" width="3" style="37" customWidth="1"/>
    <col min="15106" max="15106" width="7.7109375" style="37" customWidth="1"/>
    <col min="15107" max="15107" width="10.42578125" style="37" customWidth="1"/>
    <col min="15108" max="15108" width="11.85546875" style="37" customWidth="1"/>
    <col min="15109" max="15360" width="9.140625" style="37"/>
    <col min="15361" max="15361" width="3" style="37" customWidth="1"/>
    <col min="15362" max="15362" width="7.7109375" style="37" customWidth="1"/>
    <col min="15363" max="15363" width="10.42578125" style="37" customWidth="1"/>
    <col min="15364" max="15364" width="11.85546875" style="37" customWidth="1"/>
    <col min="15365" max="15616" width="9.140625" style="37"/>
    <col min="15617" max="15617" width="3" style="37" customWidth="1"/>
    <col min="15618" max="15618" width="7.7109375" style="37" customWidth="1"/>
    <col min="15619" max="15619" width="10.42578125" style="37" customWidth="1"/>
    <col min="15620" max="15620" width="11.85546875" style="37" customWidth="1"/>
    <col min="15621" max="15872" width="9.140625" style="37"/>
    <col min="15873" max="15873" width="3" style="37" customWidth="1"/>
    <col min="15874" max="15874" width="7.7109375" style="37" customWidth="1"/>
    <col min="15875" max="15875" width="10.42578125" style="37" customWidth="1"/>
    <col min="15876" max="15876" width="11.85546875" style="37" customWidth="1"/>
    <col min="15877" max="16128" width="9.140625" style="37"/>
    <col min="16129" max="16129" width="3" style="37" customWidth="1"/>
    <col min="16130" max="16130" width="7.7109375" style="37" customWidth="1"/>
    <col min="16131" max="16131" width="10.42578125" style="37" customWidth="1"/>
    <col min="16132" max="16132" width="11.85546875" style="37" customWidth="1"/>
    <col min="16133" max="16384" width="9.140625" style="37"/>
  </cols>
  <sheetData>
    <row r="1" spans="1:9" ht="18">
      <c r="A1" s="42" t="s">
        <v>319</v>
      </c>
    </row>
    <row r="3" spans="1:9">
      <c r="A3" s="43" t="s">
        <v>4</v>
      </c>
      <c r="B3" s="43" t="s">
        <v>320</v>
      </c>
      <c r="C3" s="43" t="s">
        <v>321</v>
      </c>
      <c r="D3" s="43" t="s">
        <v>322</v>
      </c>
      <c r="E3" s="41"/>
      <c r="F3" s="41"/>
      <c r="G3" s="43" t="s">
        <v>323</v>
      </c>
      <c r="H3" s="41"/>
    </row>
    <row r="4" spans="1:9">
      <c r="A4" s="37">
        <v>1</v>
      </c>
      <c r="B4" s="37">
        <f>H$4</f>
        <v>5</v>
      </c>
      <c r="C4" s="37">
        <f>B4/(1+H$5)^A4</f>
        <v>4.545454545454545</v>
      </c>
      <c r="D4" s="37">
        <f>C4</f>
        <v>4.545454545454545</v>
      </c>
      <c r="G4" s="43" t="s">
        <v>324</v>
      </c>
      <c r="H4" s="37">
        <v>5</v>
      </c>
    </row>
    <row r="5" spans="1:9">
      <c r="A5" s="37">
        <f>A4+1</f>
        <v>2</v>
      </c>
      <c r="B5" s="37">
        <f>B$4*(1+H$6)^(A5-1)</f>
        <v>5.2</v>
      </c>
      <c r="C5" s="37">
        <f>B5/(1+H$5)^A5</f>
        <v>4.2975206611570247</v>
      </c>
      <c r="D5" s="37">
        <f>C5+D4</f>
        <v>8.8429752066115697</v>
      </c>
      <c r="G5" s="43" t="s">
        <v>325</v>
      </c>
      <c r="H5" s="37">
        <v>0.1</v>
      </c>
    </row>
    <row r="6" spans="1:9">
      <c r="A6" s="37">
        <f t="shared" ref="A6:A66" si="0">A5+1</f>
        <v>3</v>
      </c>
      <c r="B6" s="37">
        <f t="shared" ref="B6:B66" si="1">B$4*(1+H$6)^(A6-1)</f>
        <v>5.4080000000000004</v>
      </c>
      <c r="C6" s="37">
        <f t="shared" ref="C6:C66" si="2">B6/(1+H$5)^A6</f>
        <v>4.0631104432757317</v>
      </c>
      <c r="D6" s="37">
        <f t="shared" ref="D6:D66" si="3">C6+D5</f>
        <v>12.906085649887302</v>
      </c>
      <c r="G6" s="43" t="s">
        <v>326</v>
      </c>
      <c r="H6" s="37">
        <v>0.04</v>
      </c>
    </row>
    <row r="7" spans="1:9">
      <c r="A7" s="37">
        <f t="shared" si="0"/>
        <v>4</v>
      </c>
      <c r="B7" s="37">
        <f t="shared" si="1"/>
        <v>5.6243200000000009</v>
      </c>
      <c r="C7" s="37">
        <f t="shared" si="2"/>
        <v>3.8414862372788741</v>
      </c>
      <c r="D7" s="37">
        <f t="shared" si="3"/>
        <v>16.747571887166178</v>
      </c>
    </row>
    <row r="8" spans="1:9">
      <c r="A8" s="37">
        <f t="shared" si="0"/>
        <v>5</v>
      </c>
      <c r="B8" s="37">
        <f t="shared" si="1"/>
        <v>5.8492928000000006</v>
      </c>
      <c r="C8" s="37">
        <f t="shared" si="2"/>
        <v>3.6319506243363895</v>
      </c>
      <c r="D8" s="37">
        <f t="shared" si="3"/>
        <v>20.379522511502568</v>
      </c>
      <c r="G8" s="43" t="s">
        <v>327</v>
      </c>
      <c r="H8" s="41"/>
      <c r="I8" s="41"/>
    </row>
    <row r="9" spans="1:9">
      <c r="A9" s="37">
        <f t="shared" si="0"/>
        <v>6</v>
      </c>
      <c r="B9" s="37">
        <f t="shared" si="1"/>
        <v>6.0832645120000013</v>
      </c>
      <c r="C9" s="37">
        <f t="shared" si="2"/>
        <v>3.4338442266453137</v>
      </c>
      <c r="D9" s="37">
        <f t="shared" si="3"/>
        <v>23.813366738147881</v>
      </c>
      <c r="G9" s="43" t="s">
        <v>328</v>
      </c>
      <c r="H9" s="37">
        <f>H4/(H5-H6)</f>
        <v>83.333333333333329</v>
      </c>
    </row>
    <row r="10" spans="1:9">
      <c r="A10" s="37">
        <f t="shared" si="0"/>
        <v>7</v>
      </c>
      <c r="B10" s="37">
        <f t="shared" si="1"/>
        <v>6.3265950924800016</v>
      </c>
      <c r="C10" s="37">
        <f t="shared" si="2"/>
        <v>3.2465436324646597</v>
      </c>
      <c r="D10" s="37">
        <f t="shared" si="3"/>
        <v>27.059910370612542</v>
      </c>
      <c r="H10" s="43" t="s">
        <v>329</v>
      </c>
      <c r="I10" s="41"/>
    </row>
    <row r="11" spans="1:9">
      <c r="A11" s="37">
        <f t="shared" si="0"/>
        <v>8</v>
      </c>
      <c r="B11" s="37">
        <f t="shared" si="1"/>
        <v>6.5796588961792013</v>
      </c>
      <c r="C11" s="37">
        <f t="shared" si="2"/>
        <v>3.0694594343302239</v>
      </c>
      <c r="D11" s="37">
        <f t="shared" si="3"/>
        <v>30.129369804942765</v>
      </c>
    </row>
    <row r="12" spans="1:9">
      <c r="A12" s="37">
        <f t="shared" si="0"/>
        <v>9</v>
      </c>
      <c r="B12" s="37">
        <f t="shared" si="1"/>
        <v>6.8428452520263701</v>
      </c>
      <c r="C12" s="37">
        <f t="shared" si="2"/>
        <v>2.9020343742758481</v>
      </c>
      <c r="D12" s="37">
        <f t="shared" si="3"/>
        <v>33.031404179218612</v>
      </c>
    </row>
    <row r="13" spans="1:9">
      <c r="A13" s="37">
        <f t="shared" si="0"/>
        <v>10</v>
      </c>
      <c r="B13" s="37">
        <f t="shared" si="1"/>
        <v>7.1165590621074255</v>
      </c>
      <c r="C13" s="37">
        <f t="shared" si="2"/>
        <v>2.7437415902244382</v>
      </c>
      <c r="D13" s="37">
        <f t="shared" si="3"/>
        <v>35.77514576944305</v>
      </c>
    </row>
    <row r="14" spans="1:9">
      <c r="A14" s="37">
        <f t="shared" si="0"/>
        <v>11</v>
      </c>
      <c r="B14" s="37">
        <f t="shared" si="1"/>
        <v>7.4012214245917232</v>
      </c>
      <c r="C14" s="37">
        <f t="shared" si="2"/>
        <v>2.5940829580303779</v>
      </c>
      <c r="D14" s="37">
        <f t="shared" si="3"/>
        <v>38.369228727473427</v>
      </c>
    </row>
    <row r="15" spans="1:9">
      <c r="A15" s="37">
        <f t="shared" si="0"/>
        <v>12</v>
      </c>
      <c r="B15" s="37">
        <f t="shared" si="1"/>
        <v>7.6972702815753911</v>
      </c>
      <c r="C15" s="37">
        <f t="shared" si="2"/>
        <v>2.4525875239559931</v>
      </c>
      <c r="D15" s="37">
        <f t="shared" si="3"/>
        <v>40.821816251429418</v>
      </c>
    </row>
    <row r="16" spans="1:9">
      <c r="A16" s="37">
        <f t="shared" si="0"/>
        <v>13</v>
      </c>
      <c r="B16" s="37">
        <f t="shared" si="1"/>
        <v>8.0051610928384083</v>
      </c>
      <c r="C16" s="37">
        <f t="shared" si="2"/>
        <v>2.3188100226493034</v>
      </c>
      <c r="D16" s="37">
        <f t="shared" si="3"/>
        <v>43.14062627407872</v>
      </c>
    </row>
    <row r="17" spans="1:4">
      <c r="A17" s="37">
        <f t="shared" si="0"/>
        <v>14</v>
      </c>
      <c r="B17" s="37">
        <f t="shared" si="1"/>
        <v>8.3253675365519459</v>
      </c>
      <c r="C17" s="37">
        <f t="shared" si="2"/>
        <v>2.1923294759593412</v>
      </c>
      <c r="D17" s="37">
        <f t="shared" si="3"/>
        <v>45.33295575003806</v>
      </c>
    </row>
    <row r="18" spans="1:4">
      <c r="A18" s="37">
        <f t="shared" si="0"/>
        <v>15</v>
      </c>
      <c r="B18" s="37">
        <f t="shared" si="1"/>
        <v>8.6583822380140223</v>
      </c>
      <c r="C18" s="37">
        <f t="shared" si="2"/>
        <v>2.0727478681797402</v>
      </c>
      <c r="D18" s="37">
        <f t="shared" si="3"/>
        <v>47.4057036182178</v>
      </c>
    </row>
    <row r="19" spans="1:4">
      <c r="A19" s="37">
        <f t="shared" si="0"/>
        <v>16</v>
      </c>
      <c r="B19" s="37">
        <f t="shared" si="1"/>
        <v>9.0047175275345843</v>
      </c>
      <c r="C19" s="37">
        <f t="shared" si="2"/>
        <v>1.9596888935517547</v>
      </c>
      <c r="D19" s="37">
        <f t="shared" si="3"/>
        <v>49.365392511769556</v>
      </c>
    </row>
    <row r="20" spans="1:4">
      <c r="A20" s="37">
        <f t="shared" si="0"/>
        <v>17</v>
      </c>
      <c r="B20" s="37">
        <f t="shared" si="1"/>
        <v>9.3649062286359683</v>
      </c>
      <c r="C20" s="37">
        <f t="shared" si="2"/>
        <v>1.8527967720852954</v>
      </c>
      <c r="D20" s="37">
        <f t="shared" si="3"/>
        <v>51.218189283854855</v>
      </c>
    </row>
    <row r="21" spans="1:4">
      <c r="A21" s="37">
        <f t="shared" si="0"/>
        <v>18</v>
      </c>
      <c r="B21" s="37">
        <f t="shared" si="1"/>
        <v>9.7395024777814072</v>
      </c>
      <c r="C21" s="37">
        <f t="shared" si="2"/>
        <v>1.751735129971552</v>
      </c>
      <c r="D21" s="37">
        <f t="shared" si="3"/>
        <v>52.969924413826405</v>
      </c>
    </row>
    <row r="22" spans="1:4">
      <c r="A22" s="37">
        <f t="shared" si="0"/>
        <v>19</v>
      </c>
      <c r="B22" s="37">
        <f t="shared" si="1"/>
        <v>10.129082576892666</v>
      </c>
      <c r="C22" s="37">
        <f t="shared" si="2"/>
        <v>1.6561859410640127</v>
      </c>
      <c r="D22" s="37">
        <f t="shared" si="3"/>
        <v>54.626110354890415</v>
      </c>
    </row>
    <row r="23" spans="1:4">
      <c r="A23" s="37">
        <f t="shared" si="0"/>
        <v>20</v>
      </c>
      <c r="B23" s="37">
        <f t="shared" si="1"/>
        <v>10.53424587996837</v>
      </c>
      <c r="C23" s="37">
        <f t="shared" si="2"/>
        <v>1.5658485260968846</v>
      </c>
      <c r="D23" s="37">
        <f t="shared" si="3"/>
        <v>56.191958880987301</v>
      </c>
    </row>
    <row r="24" spans="1:4">
      <c r="A24" s="37">
        <f t="shared" si="0"/>
        <v>21</v>
      </c>
      <c r="B24" s="37">
        <f t="shared" si="1"/>
        <v>10.955615715167106</v>
      </c>
      <c r="C24" s="37">
        <f t="shared" si="2"/>
        <v>1.4804386064915998</v>
      </c>
      <c r="D24" s="37">
        <f t="shared" si="3"/>
        <v>57.672397487478904</v>
      </c>
    </row>
    <row r="25" spans="1:4">
      <c r="A25" s="37">
        <f t="shared" si="0"/>
        <v>22</v>
      </c>
      <c r="B25" s="37">
        <f t="shared" si="1"/>
        <v>11.393840343773793</v>
      </c>
      <c r="C25" s="37">
        <f t="shared" si="2"/>
        <v>1.3996874097738763</v>
      </c>
      <c r="D25" s="37">
        <f t="shared" si="3"/>
        <v>59.072084897252779</v>
      </c>
    </row>
    <row r="26" spans="1:4">
      <c r="A26" s="37">
        <f t="shared" si="0"/>
        <v>23</v>
      </c>
      <c r="B26" s="37">
        <f t="shared" si="1"/>
        <v>11.849593957524744</v>
      </c>
      <c r="C26" s="37">
        <f t="shared" si="2"/>
        <v>1.3233408237862103</v>
      </c>
      <c r="D26" s="37">
        <f t="shared" si="3"/>
        <v>60.39542572103899</v>
      </c>
    </row>
    <row r="27" spans="1:4">
      <c r="A27" s="37">
        <f t="shared" si="0"/>
        <v>24</v>
      </c>
      <c r="B27" s="37">
        <f t="shared" si="1"/>
        <v>12.323577715825733</v>
      </c>
      <c r="C27" s="37">
        <f t="shared" si="2"/>
        <v>1.2511585970342352</v>
      </c>
      <c r="D27" s="37">
        <f t="shared" si="3"/>
        <v>61.646584318073224</v>
      </c>
    </row>
    <row r="28" spans="1:4">
      <c r="A28" s="37">
        <f t="shared" si="0"/>
        <v>25</v>
      </c>
      <c r="B28" s="37">
        <f t="shared" si="1"/>
        <v>12.816520824458763</v>
      </c>
      <c r="C28" s="37">
        <f t="shared" si="2"/>
        <v>1.1829135826505495</v>
      </c>
      <c r="D28" s="37">
        <f t="shared" si="3"/>
        <v>62.829497900723773</v>
      </c>
    </row>
    <row r="29" spans="1:4">
      <c r="A29" s="37">
        <f t="shared" si="0"/>
        <v>26</v>
      </c>
      <c r="B29" s="37">
        <f t="shared" si="1"/>
        <v>13.329181657437116</v>
      </c>
      <c r="C29" s="37">
        <f t="shared" si="2"/>
        <v>1.1183910235968832</v>
      </c>
      <c r="D29" s="37">
        <f t="shared" si="3"/>
        <v>63.947888924320658</v>
      </c>
    </row>
    <row r="30" spans="1:4">
      <c r="A30" s="37">
        <f t="shared" si="0"/>
        <v>27</v>
      </c>
      <c r="B30" s="37">
        <f t="shared" si="1"/>
        <v>13.862348923734601</v>
      </c>
      <c r="C30" s="37">
        <f t="shared" si="2"/>
        <v>1.0573878768552349</v>
      </c>
      <c r="D30" s="37">
        <f t="shared" si="3"/>
        <v>65.005276801175896</v>
      </c>
    </row>
    <row r="31" spans="1:4">
      <c r="A31" s="37">
        <f t="shared" si="0"/>
        <v>28</v>
      </c>
      <c r="B31" s="37">
        <f t="shared" si="1"/>
        <v>14.416842880683983</v>
      </c>
      <c r="C31" s="37">
        <f t="shared" si="2"/>
        <v>0.999712174481313</v>
      </c>
      <c r="D31" s="37">
        <f t="shared" si="3"/>
        <v>66.004988975657213</v>
      </c>
    </row>
    <row r="32" spans="1:4">
      <c r="A32" s="37">
        <f t="shared" si="0"/>
        <v>29</v>
      </c>
      <c r="B32" s="37">
        <f t="shared" si="1"/>
        <v>14.993516595911347</v>
      </c>
      <c r="C32" s="37">
        <f t="shared" si="2"/>
        <v>0.94518241950960524</v>
      </c>
      <c r="D32" s="37">
        <f t="shared" si="3"/>
        <v>66.950171395166819</v>
      </c>
    </row>
    <row r="33" spans="1:4">
      <c r="A33" s="37">
        <f t="shared" si="0"/>
        <v>30</v>
      </c>
      <c r="B33" s="37">
        <f t="shared" si="1"/>
        <v>15.593257259747801</v>
      </c>
      <c r="C33" s="37">
        <f t="shared" si="2"/>
        <v>0.89362701480908113</v>
      </c>
      <c r="D33" s="37">
        <f t="shared" si="3"/>
        <v>67.843798409975903</v>
      </c>
    </row>
    <row r="34" spans="1:4">
      <c r="A34" s="37">
        <f t="shared" si="0"/>
        <v>31</v>
      </c>
      <c r="B34" s="37">
        <f t="shared" si="1"/>
        <v>16.216987550137713</v>
      </c>
      <c r="C34" s="37">
        <f t="shared" si="2"/>
        <v>0.84488372309222215</v>
      </c>
      <c r="D34" s="37">
        <f t="shared" si="3"/>
        <v>68.688682133068127</v>
      </c>
    </row>
    <row r="35" spans="1:4">
      <c r="A35" s="37">
        <f t="shared" si="0"/>
        <v>32</v>
      </c>
      <c r="B35" s="37">
        <f t="shared" si="1"/>
        <v>16.86566705214322</v>
      </c>
      <c r="C35" s="37">
        <f t="shared" si="2"/>
        <v>0.79879915637810084</v>
      </c>
      <c r="D35" s="37">
        <f t="shared" si="3"/>
        <v>69.487481289446222</v>
      </c>
    </row>
    <row r="36" spans="1:4">
      <c r="A36" s="37">
        <f t="shared" si="0"/>
        <v>33</v>
      </c>
      <c r="B36" s="37">
        <f t="shared" si="1"/>
        <v>17.54029373422895</v>
      </c>
      <c r="C36" s="37">
        <f t="shared" si="2"/>
        <v>0.75522829330293173</v>
      </c>
      <c r="D36" s="37">
        <f t="shared" si="3"/>
        <v>70.242709582749157</v>
      </c>
    </row>
    <row r="37" spans="1:4">
      <c r="A37" s="37">
        <f t="shared" si="0"/>
        <v>34</v>
      </c>
      <c r="B37" s="37">
        <f t="shared" si="1"/>
        <v>18.24190548359811</v>
      </c>
      <c r="C37" s="37">
        <f t="shared" si="2"/>
        <v>0.71403402275913541</v>
      </c>
      <c r="D37" s="37">
        <f t="shared" si="3"/>
        <v>70.956743605508294</v>
      </c>
    </row>
    <row r="38" spans="1:4">
      <c r="A38" s="37">
        <f t="shared" si="0"/>
        <v>35</v>
      </c>
      <c r="B38" s="37">
        <f t="shared" si="1"/>
        <v>18.971581702942036</v>
      </c>
      <c r="C38" s="37">
        <f t="shared" si="2"/>
        <v>0.67508671242681895</v>
      </c>
      <c r="D38" s="37">
        <f t="shared" si="3"/>
        <v>71.631830317935112</v>
      </c>
    </row>
    <row r="39" spans="1:4">
      <c r="A39" s="37">
        <f t="shared" si="0"/>
        <v>36</v>
      </c>
      <c r="B39" s="37">
        <f t="shared" si="1"/>
        <v>19.730444971059718</v>
      </c>
      <c r="C39" s="37">
        <f t="shared" si="2"/>
        <v>0.63826380083990164</v>
      </c>
      <c r="D39" s="37">
        <f t="shared" si="3"/>
        <v>72.27009411877502</v>
      </c>
    </row>
    <row r="40" spans="1:4">
      <c r="A40" s="37">
        <f t="shared" si="0"/>
        <v>37</v>
      </c>
      <c r="B40" s="37">
        <f t="shared" si="1"/>
        <v>20.519662769902105</v>
      </c>
      <c r="C40" s="37">
        <f t="shared" si="2"/>
        <v>0.60344941170317956</v>
      </c>
      <c r="D40" s="37">
        <f t="shared" si="3"/>
        <v>72.873543530478202</v>
      </c>
    </row>
    <row r="41" spans="1:4">
      <c r="A41" s="37">
        <f t="shared" si="0"/>
        <v>38</v>
      </c>
      <c r="B41" s="37">
        <f t="shared" si="1"/>
        <v>21.340449280698195</v>
      </c>
      <c r="C41" s="37">
        <f t="shared" si="2"/>
        <v>0.57053398924664256</v>
      </c>
      <c r="D41" s="37">
        <f t="shared" si="3"/>
        <v>73.444077519724843</v>
      </c>
    </row>
    <row r="42" spans="1:4">
      <c r="A42" s="37">
        <f t="shared" si="0"/>
        <v>39</v>
      </c>
      <c r="B42" s="37">
        <f t="shared" si="1"/>
        <v>22.194067251926121</v>
      </c>
      <c r="C42" s="37">
        <f t="shared" si="2"/>
        <v>0.5394139534695529</v>
      </c>
      <c r="D42" s="37">
        <f t="shared" si="3"/>
        <v>73.983491473194391</v>
      </c>
    </row>
    <row r="43" spans="1:4">
      <c r="A43" s="37">
        <f t="shared" si="0"/>
        <v>40</v>
      </c>
      <c r="B43" s="37">
        <f t="shared" si="1"/>
        <v>23.081829942003161</v>
      </c>
      <c r="C43" s="37">
        <f t="shared" si="2"/>
        <v>0.50999137418939544</v>
      </c>
      <c r="D43" s="37">
        <f t="shared" si="3"/>
        <v>74.493482847383788</v>
      </c>
    </row>
    <row r="44" spans="1:4">
      <c r="A44" s="37">
        <f t="shared" si="0"/>
        <v>41</v>
      </c>
      <c r="B44" s="37">
        <f t="shared" si="1"/>
        <v>24.005103139683296</v>
      </c>
      <c r="C44" s="37">
        <f t="shared" si="2"/>
        <v>0.48217366286997398</v>
      </c>
      <c r="D44" s="37">
        <f t="shared" si="3"/>
        <v>74.975656510253756</v>
      </c>
    </row>
    <row r="45" spans="1:4">
      <c r="A45" s="37">
        <f t="shared" si="0"/>
        <v>42</v>
      </c>
      <c r="B45" s="37">
        <f t="shared" si="1"/>
        <v>24.965307265270628</v>
      </c>
      <c r="C45" s="37">
        <f t="shared" si="2"/>
        <v>0.45587328125888443</v>
      </c>
      <c r="D45" s="37">
        <f t="shared" si="3"/>
        <v>75.431529791512645</v>
      </c>
    </row>
    <row r="46" spans="1:4">
      <c r="A46" s="37">
        <f t="shared" si="0"/>
        <v>43</v>
      </c>
      <c r="B46" s="37">
        <f t="shared" si="1"/>
        <v>25.963919555881454</v>
      </c>
      <c r="C46" s="37">
        <f t="shared" si="2"/>
        <v>0.43100746591749067</v>
      </c>
      <c r="D46" s="37">
        <f t="shared" si="3"/>
        <v>75.862537257430134</v>
      </c>
    </row>
    <row r="47" spans="1:4">
      <c r="A47" s="37">
        <f t="shared" si="0"/>
        <v>44</v>
      </c>
      <c r="B47" s="37">
        <f t="shared" si="1"/>
        <v>27.002476338116711</v>
      </c>
      <c r="C47" s="37">
        <f t="shared" si="2"/>
        <v>0.40749796777653663</v>
      </c>
      <c r="D47" s="37">
        <f t="shared" si="3"/>
        <v>76.270035225206669</v>
      </c>
    </row>
    <row r="48" spans="1:4">
      <c r="A48" s="37">
        <f t="shared" si="0"/>
        <v>45</v>
      </c>
      <c r="B48" s="37">
        <f t="shared" si="1"/>
        <v>28.082575391641384</v>
      </c>
      <c r="C48" s="37">
        <f t="shared" si="2"/>
        <v>0.38527080589781648</v>
      </c>
      <c r="D48" s="37">
        <f t="shared" si="3"/>
        <v>76.655306031104487</v>
      </c>
    </row>
    <row r="49" spans="1:4">
      <c r="A49" s="37">
        <f t="shared" si="0"/>
        <v>46</v>
      </c>
      <c r="B49" s="37">
        <f t="shared" si="1"/>
        <v>29.20587840730704</v>
      </c>
      <c r="C49" s="37">
        <f t="shared" si="2"/>
        <v>0.36425603466702644</v>
      </c>
      <c r="D49" s="37">
        <f t="shared" si="3"/>
        <v>77.01956206577151</v>
      </c>
    </row>
    <row r="50" spans="1:4">
      <c r="A50" s="37">
        <f t="shared" si="0"/>
        <v>47</v>
      </c>
      <c r="B50" s="37">
        <f t="shared" si="1"/>
        <v>30.374113543599321</v>
      </c>
      <c r="C50" s="37">
        <f t="shared" si="2"/>
        <v>0.34438752368518866</v>
      </c>
      <c r="D50" s="37">
        <f t="shared" si="3"/>
        <v>77.363949589456695</v>
      </c>
    </row>
    <row r="51" spans="1:4">
      <c r="A51" s="37">
        <f t="shared" si="0"/>
        <v>48</v>
      </c>
      <c r="B51" s="37">
        <f t="shared" si="1"/>
        <v>31.589078085343296</v>
      </c>
      <c r="C51" s="37">
        <f t="shared" si="2"/>
        <v>0.32560274966599656</v>
      </c>
      <c r="D51" s="37">
        <f t="shared" si="3"/>
        <v>77.689552339122685</v>
      </c>
    </row>
    <row r="52" spans="1:4">
      <c r="A52" s="37">
        <f t="shared" si="0"/>
        <v>49</v>
      </c>
      <c r="B52" s="37">
        <f t="shared" si="1"/>
        <v>32.852641208757028</v>
      </c>
      <c r="C52" s="37">
        <f t="shared" si="2"/>
        <v>0.3078425996842149</v>
      </c>
      <c r="D52" s="37">
        <f t="shared" si="3"/>
        <v>77.997394938806906</v>
      </c>
    </row>
    <row r="53" spans="1:4">
      <c r="A53" s="37">
        <f t="shared" si="0"/>
        <v>50</v>
      </c>
      <c r="B53" s="37">
        <f t="shared" si="1"/>
        <v>34.166746857107313</v>
      </c>
      <c r="C53" s="37">
        <f t="shared" si="2"/>
        <v>0.29105118515598499</v>
      </c>
      <c r="D53" s="37">
        <f t="shared" si="3"/>
        <v>78.288446123962885</v>
      </c>
    </row>
    <row r="54" spans="1:4">
      <c r="A54" s="37">
        <f t="shared" si="0"/>
        <v>51</v>
      </c>
      <c r="B54" s="37">
        <f t="shared" si="1"/>
        <v>35.533416731391611</v>
      </c>
      <c r="C54" s="37">
        <f t="shared" si="2"/>
        <v>0.27517566596565857</v>
      </c>
      <c r="D54" s="37">
        <f t="shared" si="3"/>
        <v>78.563621789928547</v>
      </c>
    </row>
    <row r="55" spans="1:4">
      <c r="A55" s="37">
        <f t="shared" si="0"/>
        <v>52</v>
      </c>
      <c r="B55" s="37">
        <f t="shared" si="1"/>
        <v>36.954753400647277</v>
      </c>
      <c r="C55" s="37">
        <f t="shared" si="2"/>
        <v>0.26016608418571352</v>
      </c>
      <c r="D55" s="37">
        <f t="shared" si="3"/>
        <v>78.823787874114259</v>
      </c>
    </row>
    <row r="56" spans="1:4">
      <c r="A56" s="37">
        <f t="shared" si="0"/>
        <v>53</v>
      </c>
      <c r="B56" s="37">
        <f t="shared" si="1"/>
        <v>38.432943536673164</v>
      </c>
      <c r="C56" s="37">
        <f t="shared" si="2"/>
        <v>0.24597520686649274</v>
      </c>
      <c r="D56" s="37">
        <f t="shared" si="3"/>
        <v>79.069763080980749</v>
      </c>
    </row>
    <row r="57" spans="1:4">
      <c r="A57" s="37">
        <f t="shared" si="0"/>
        <v>54</v>
      </c>
      <c r="B57" s="37">
        <f t="shared" si="1"/>
        <v>39.9702612781401</v>
      </c>
      <c r="C57" s="37">
        <f t="shared" si="2"/>
        <v>0.23255837740104773</v>
      </c>
      <c r="D57" s="37">
        <f t="shared" si="3"/>
        <v>79.302321458381797</v>
      </c>
    </row>
    <row r="58" spans="1:4">
      <c r="A58" s="37">
        <f t="shared" si="0"/>
        <v>55</v>
      </c>
      <c r="B58" s="37">
        <f t="shared" si="1"/>
        <v>41.569071729265701</v>
      </c>
      <c r="C58" s="37">
        <f t="shared" si="2"/>
        <v>0.21987337499735415</v>
      </c>
      <c r="D58" s="37">
        <f t="shared" si="3"/>
        <v>79.522194833379146</v>
      </c>
    </row>
    <row r="59" spans="1:4">
      <c r="A59" s="37">
        <f t="shared" si="0"/>
        <v>56</v>
      </c>
      <c r="B59" s="37">
        <f t="shared" si="1"/>
        <v>43.231834598436329</v>
      </c>
      <c r="C59" s="37">
        <f t="shared" si="2"/>
        <v>0.20788028181568036</v>
      </c>
      <c r="D59" s="37">
        <f t="shared" si="3"/>
        <v>79.730075115194822</v>
      </c>
    </row>
    <row r="60" spans="1:4">
      <c r="A60" s="37">
        <f t="shared" si="0"/>
        <v>57</v>
      </c>
      <c r="B60" s="37">
        <f t="shared" si="1"/>
        <v>44.961107982373782</v>
      </c>
      <c r="C60" s="37">
        <f t="shared" si="2"/>
        <v>0.19654135735300682</v>
      </c>
      <c r="D60" s="37">
        <f t="shared" si="3"/>
        <v>79.926616472547835</v>
      </c>
    </row>
    <row r="61" spans="1:4">
      <c r="A61" s="37">
        <f t="shared" si="0"/>
        <v>58</v>
      </c>
      <c r="B61" s="37">
        <f t="shared" si="1"/>
        <v>46.759552301668748</v>
      </c>
      <c r="C61" s="37">
        <f t="shared" si="2"/>
        <v>0.18582091967920653</v>
      </c>
      <c r="D61" s="37">
        <f t="shared" si="3"/>
        <v>80.112437392227037</v>
      </c>
    </row>
    <row r="62" spans="1:4">
      <c r="A62" s="37">
        <f t="shared" si="0"/>
        <v>59</v>
      </c>
      <c r="B62" s="37">
        <f t="shared" si="1"/>
        <v>48.629934393735482</v>
      </c>
      <c r="C62" s="37">
        <f t="shared" si="2"/>
        <v>0.1756852331512497</v>
      </c>
      <c r="D62" s="37">
        <f t="shared" si="3"/>
        <v>80.288122625378293</v>
      </c>
    </row>
    <row r="63" spans="1:4">
      <c r="A63" s="37">
        <f t="shared" si="0"/>
        <v>60</v>
      </c>
      <c r="B63" s="37">
        <f t="shared" si="1"/>
        <v>50.575131769484905</v>
      </c>
      <c r="C63" s="37">
        <f t="shared" si="2"/>
        <v>0.16610240225209066</v>
      </c>
      <c r="D63" s="37">
        <f t="shared" si="3"/>
        <v>80.454225027630386</v>
      </c>
    </row>
    <row r="64" spans="1:4">
      <c r="A64" s="37">
        <f t="shared" si="0"/>
        <v>61</v>
      </c>
      <c r="B64" s="37">
        <f t="shared" si="1"/>
        <v>52.598137040264319</v>
      </c>
      <c r="C64" s="37">
        <f t="shared" si="2"/>
        <v>0.15704227122015846</v>
      </c>
      <c r="D64" s="37">
        <f t="shared" si="3"/>
        <v>80.611267298850549</v>
      </c>
    </row>
    <row r="65" spans="1:4">
      <c r="A65" s="37">
        <f t="shared" si="0"/>
        <v>62</v>
      </c>
      <c r="B65" s="37">
        <f t="shared" si="1"/>
        <v>54.702062521874893</v>
      </c>
      <c r="C65" s="37">
        <f t="shared" si="2"/>
        <v>0.14847632915360434</v>
      </c>
      <c r="D65" s="37">
        <f t="shared" si="3"/>
        <v>80.759743628004159</v>
      </c>
    </row>
    <row r="66" spans="1:4">
      <c r="A66" s="37">
        <f t="shared" si="0"/>
        <v>63</v>
      </c>
      <c r="B66" s="37">
        <f t="shared" si="1"/>
        <v>56.890145022749877</v>
      </c>
      <c r="C66" s="37">
        <f t="shared" si="2"/>
        <v>0.14037762029068046</v>
      </c>
      <c r="D66" s="37">
        <f t="shared" si="3"/>
        <v>80.900121248294838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activeCell="D24" sqref="D24"/>
    </sheetView>
  </sheetViews>
  <sheetFormatPr defaultColWidth="9" defaultRowHeight="12.75"/>
  <cols>
    <col min="1" max="1" width="6" style="50" customWidth="1"/>
    <col min="2" max="2" width="6.7109375" style="50" customWidth="1"/>
    <col min="3" max="3" width="9.85546875" style="50" customWidth="1"/>
    <col min="4" max="4" width="9" style="50" bestFit="1" customWidth="1"/>
    <col min="5" max="5" width="9.7109375" style="50" customWidth="1"/>
    <col min="6" max="6" width="11.42578125" style="50" customWidth="1"/>
    <col min="7" max="7" width="9.7109375" style="50" customWidth="1"/>
    <col min="8" max="256" width="9" style="50"/>
    <col min="257" max="257" width="6" style="50" customWidth="1"/>
    <col min="258" max="258" width="6.7109375" style="50" customWidth="1"/>
    <col min="259" max="259" width="9.85546875" style="50" customWidth="1"/>
    <col min="260" max="260" width="9" style="50" bestFit="1" customWidth="1"/>
    <col min="261" max="261" width="9.7109375" style="50" customWidth="1"/>
    <col min="262" max="262" width="11.42578125" style="50" customWidth="1"/>
    <col min="263" max="263" width="9.7109375" style="50" customWidth="1"/>
    <col min="264" max="512" width="9" style="50"/>
    <col min="513" max="513" width="6" style="50" customWidth="1"/>
    <col min="514" max="514" width="6.7109375" style="50" customWidth="1"/>
    <col min="515" max="515" width="9.85546875" style="50" customWidth="1"/>
    <col min="516" max="516" width="9" style="50" bestFit="1" customWidth="1"/>
    <col min="517" max="517" width="9.7109375" style="50" customWidth="1"/>
    <col min="518" max="518" width="11.42578125" style="50" customWidth="1"/>
    <col min="519" max="519" width="9.7109375" style="50" customWidth="1"/>
    <col min="520" max="768" width="9" style="50"/>
    <col min="769" max="769" width="6" style="50" customWidth="1"/>
    <col min="770" max="770" width="6.7109375" style="50" customWidth="1"/>
    <col min="771" max="771" width="9.85546875" style="50" customWidth="1"/>
    <col min="772" max="772" width="9" style="50" bestFit="1" customWidth="1"/>
    <col min="773" max="773" width="9.7109375" style="50" customWidth="1"/>
    <col min="774" max="774" width="11.42578125" style="50" customWidth="1"/>
    <col min="775" max="775" width="9.7109375" style="50" customWidth="1"/>
    <col min="776" max="1024" width="9" style="50"/>
    <col min="1025" max="1025" width="6" style="50" customWidth="1"/>
    <col min="1026" max="1026" width="6.7109375" style="50" customWidth="1"/>
    <col min="1027" max="1027" width="9.85546875" style="50" customWidth="1"/>
    <col min="1028" max="1028" width="9" style="50" bestFit="1" customWidth="1"/>
    <col min="1029" max="1029" width="9.7109375" style="50" customWidth="1"/>
    <col min="1030" max="1030" width="11.42578125" style="50" customWidth="1"/>
    <col min="1031" max="1031" width="9.7109375" style="50" customWidth="1"/>
    <col min="1032" max="1280" width="9" style="50"/>
    <col min="1281" max="1281" width="6" style="50" customWidth="1"/>
    <col min="1282" max="1282" width="6.7109375" style="50" customWidth="1"/>
    <col min="1283" max="1283" width="9.85546875" style="50" customWidth="1"/>
    <col min="1284" max="1284" width="9" style="50" bestFit="1" customWidth="1"/>
    <col min="1285" max="1285" width="9.7109375" style="50" customWidth="1"/>
    <col min="1286" max="1286" width="11.42578125" style="50" customWidth="1"/>
    <col min="1287" max="1287" width="9.7109375" style="50" customWidth="1"/>
    <col min="1288" max="1536" width="9" style="50"/>
    <col min="1537" max="1537" width="6" style="50" customWidth="1"/>
    <col min="1538" max="1538" width="6.7109375" style="50" customWidth="1"/>
    <col min="1539" max="1539" width="9.85546875" style="50" customWidth="1"/>
    <col min="1540" max="1540" width="9" style="50" bestFit="1" customWidth="1"/>
    <col min="1541" max="1541" width="9.7109375" style="50" customWidth="1"/>
    <col min="1542" max="1542" width="11.42578125" style="50" customWidth="1"/>
    <col min="1543" max="1543" width="9.7109375" style="50" customWidth="1"/>
    <col min="1544" max="1792" width="9" style="50"/>
    <col min="1793" max="1793" width="6" style="50" customWidth="1"/>
    <col min="1794" max="1794" width="6.7109375" style="50" customWidth="1"/>
    <col min="1795" max="1795" width="9.85546875" style="50" customWidth="1"/>
    <col min="1796" max="1796" width="9" style="50" bestFit="1" customWidth="1"/>
    <col min="1797" max="1797" width="9.7109375" style="50" customWidth="1"/>
    <col min="1798" max="1798" width="11.42578125" style="50" customWidth="1"/>
    <col min="1799" max="1799" width="9.7109375" style="50" customWidth="1"/>
    <col min="1800" max="2048" width="9" style="50"/>
    <col min="2049" max="2049" width="6" style="50" customWidth="1"/>
    <col min="2050" max="2050" width="6.7109375" style="50" customWidth="1"/>
    <col min="2051" max="2051" width="9.85546875" style="50" customWidth="1"/>
    <col min="2052" max="2052" width="9" style="50" bestFit="1" customWidth="1"/>
    <col min="2053" max="2053" width="9.7109375" style="50" customWidth="1"/>
    <col min="2054" max="2054" width="11.42578125" style="50" customWidth="1"/>
    <col min="2055" max="2055" width="9.7109375" style="50" customWidth="1"/>
    <col min="2056" max="2304" width="9" style="50"/>
    <col min="2305" max="2305" width="6" style="50" customWidth="1"/>
    <col min="2306" max="2306" width="6.7109375" style="50" customWidth="1"/>
    <col min="2307" max="2307" width="9.85546875" style="50" customWidth="1"/>
    <col min="2308" max="2308" width="9" style="50" bestFit="1" customWidth="1"/>
    <col min="2309" max="2309" width="9.7109375" style="50" customWidth="1"/>
    <col min="2310" max="2310" width="11.42578125" style="50" customWidth="1"/>
    <col min="2311" max="2311" width="9.7109375" style="50" customWidth="1"/>
    <col min="2312" max="2560" width="9" style="50"/>
    <col min="2561" max="2561" width="6" style="50" customWidth="1"/>
    <col min="2562" max="2562" width="6.7109375" style="50" customWidth="1"/>
    <col min="2563" max="2563" width="9.85546875" style="50" customWidth="1"/>
    <col min="2564" max="2564" width="9" style="50" bestFit="1" customWidth="1"/>
    <col min="2565" max="2565" width="9.7109375" style="50" customWidth="1"/>
    <col min="2566" max="2566" width="11.42578125" style="50" customWidth="1"/>
    <col min="2567" max="2567" width="9.7109375" style="50" customWidth="1"/>
    <col min="2568" max="2816" width="9" style="50"/>
    <col min="2817" max="2817" width="6" style="50" customWidth="1"/>
    <col min="2818" max="2818" width="6.7109375" style="50" customWidth="1"/>
    <col min="2819" max="2819" width="9.85546875" style="50" customWidth="1"/>
    <col min="2820" max="2820" width="9" style="50" bestFit="1" customWidth="1"/>
    <col min="2821" max="2821" width="9.7109375" style="50" customWidth="1"/>
    <col min="2822" max="2822" width="11.42578125" style="50" customWidth="1"/>
    <col min="2823" max="2823" width="9.7109375" style="50" customWidth="1"/>
    <col min="2824" max="3072" width="9" style="50"/>
    <col min="3073" max="3073" width="6" style="50" customWidth="1"/>
    <col min="3074" max="3074" width="6.7109375" style="50" customWidth="1"/>
    <col min="3075" max="3075" width="9.85546875" style="50" customWidth="1"/>
    <col min="3076" max="3076" width="9" style="50" bestFit="1" customWidth="1"/>
    <col min="3077" max="3077" width="9.7109375" style="50" customWidth="1"/>
    <col min="3078" max="3078" width="11.42578125" style="50" customWidth="1"/>
    <col min="3079" max="3079" width="9.7109375" style="50" customWidth="1"/>
    <col min="3080" max="3328" width="9" style="50"/>
    <col min="3329" max="3329" width="6" style="50" customWidth="1"/>
    <col min="3330" max="3330" width="6.7109375" style="50" customWidth="1"/>
    <col min="3331" max="3331" width="9.85546875" style="50" customWidth="1"/>
    <col min="3332" max="3332" width="9" style="50" bestFit="1" customWidth="1"/>
    <col min="3333" max="3333" width="9.7109375" style="50" customWidth="1"/>
    <col min="3334" max="3334" width="11.42578125" style="50" customWidth="1"/>
    <col min="3335" max="3335" width="9.7109375" style="50" customWidth="1"/>
    <col min="3336" max="3584" width="9" style="50"/>
    <col min="3585" max="3585" width="6" style="50" customWidth="1"/>
    <col min="3586" max="3586" width="6.7109375" style="50" customWidth="1"/>
    <col min="3587" max="3587" width="9.85546875" style="50" customWidth="1"/>
    <col min="3588" max="3588" width="9" style="50" bestFit="1" customWidth="1"/>
    <col min="3589" max="3589" width="9.7109375" style="50" customWidth="1"/>
    <col min="3590" max="3590" width="11.42578125" style="50" customWidth="1"/>
    <col min="3591" max="3591" width="9.7109375" style="50" customWidth="1"/>
    <col min="3592" max="3840" width="9" style="50"/>
    <col min="3841" max="3841" width="6" style="50" customWidth="1"/>
    <col min="3842" max="3842" width="6.7109375" style="50" customWidth="1"/>
    <col min="3843" max="3843" width="9.85546875" style="50" customWidth="1"/>
    <col min="3844" max="3844" width="9" style="50" bestFit="1" customWidth="1"/>
    <col min="3845" max="3845" width="9.7109375" style="50" customWidth="1"/>
    <col min="3846" max="3846" width="11.42578125" style="50" customWidth="1"/>
    <col min="3847" max="3847" width="9.7109375" style="50" customWidth="1"/>
    <col min="3848" max="4096" width="9" style="50"/>
    <col min="4097" max="4097" width="6" style="50" customWidth="1"/>
    <col min="4098" max="4098" width="6.7109375" style="50" customWidth="1"/>
    <col min="4099" max="4099" width="9.85546875" style="50" customWidth="1"/>
    <col min="4100" max="4100" width="9" style="50" bestFit="1" customWidth="1"/>
    <col min="4101" max="4101" width="9.7109375" style="50" customWidth="1"/>
    <col min="4102" max="4102" width="11.42578125" style="50" customWidth="1"/>
    <col min="4103" max="4103" width="9.7109375" style="50" customWidth="1"/>
    <col min="4104" max="4352" width="9" style="50"/>
    <col min="4353" max="4353" width="6" style="50" customWidth="1"/>
    <col min="4354" max="4354" width="6.7109375" style="50" customWidth="1"/>
    <col min="4355" max="4355" width="9.85546875" style="50" customWidth="1"/>
    <col min="4356" max="4356" width="9" style="50" bestFit="1" customWidth="1"/>
    <col min="4357" max="4357" width="9.7109375" style="50" customWidth="1"/>
    <col min="4358" max="4358" width="11.42578125" style="50" customWidth="1"/>
    <col min="4359" max="4359" width="9.7109375" style="50" customWidth="1"/>
    <col min="4360" max="4608" width="9" style="50"/>
    <col min="4609" max="4609" width="6" style="50" customWidth="1"/>
    <col min="4610" max="4610" width="6.7109375" style="50" customWidth="1"/>
    <col min="4611" max="4611" width="9.85546875" style="50" customWidth="1"/>
    <col min="4612" max="4612" width="9" style="50" bestFit="1" customWidth="1"/>
    <col min="4613" max="4613" width="9.7109375" style="50" customWidth="1"/>
    <col min="4614" max="4614" width="11.42578125" style="50" customWidth="1"/>
    <col min="4615" max="4615" width="9.7109375" style="50" customWidth="1"/>
    <col min="4616" max="4864" width="9" style="50"/>
    <col min="4865" max="4865" width="6" style="50" customWidth="1"/>
    <col min="4866" max="4866" width="6.7109375" style="50" customWidth="1"/>
    <col min="4867" max="4867" width="9.85546875" style="50" customWidth="1"/>
    <col min="4868" max="4868" width="9" style="50" bestFit="1" customWidth="1"/>
    <col min="4869" max="4869" width="9.7109375" style="50" customWidth="1"/>
    <col min="4870" max="4870" width="11.42578125" style="50" customWidth="1"/>
    <col min="4871" max="4871" width="9.7109375" style="50" customWidth="1"/>
    <col min="4872" max="5120" width="9" style="50"/>
    <col min="5121" max="5121" width="6" style="50" customWidth="1"/>
    <col min="5122" max="5122" width="6.7109375" style="50" customWidth="1"/>
    <col min="5123" max="5123" width="9.85546875" style="50" customWidth="1"/>
    <col min="5124" max="5124" width="9" style="50" bestFit="1" customWidth="1"/>
    <col min="5125" max="5125" width="9.7109375" style="50" customWidth="1"/>
    <col min="5126" max="5126" width="11.42578125" style="50" customWidth="1"/>
    <col min="5127" max="5127" width="9.7109375" style="50" customWidth="1"/>
    <col min="5128" max="5376" width="9" style="50"/>
    <col min="5377" max="5377" width="6" style="50" customWidth="1"/>
    <col min="5378" max="5378" width="6.7109375" style="50" customWidth="1"/>
    <col min="5379" max="5379" width="9.85546875" style="50" customWidth="1"/>
    <col min="5380" max="5380" width="9" style="50" bestFit="1" customWidth="1"/>
    <col min="5381" max="5381" width="9.7109375" style="50" customWidth="1"/>
    <col min="5382" max="5382" width="11.42578125" style="50" customWidth="1"/>
    <col min="5383" max="5383" width="9.7109375" style="50" customWidth="1"/>
    <col min="5384" max="5632" width="9" style="50"/>
    <col min="5633" max="5633" width="6" style="50" customWidth="1"/>
    <col min="5634" max="5634" width="6.7109375" style="50" customWidth="1"/>
    <col min="5635" max="5635" width="9.85546875" style="50" customWidth="1"/>
    <col min="5636" max="5636" width="9" style="50" bestFit="1" customWidth="1"/>
    <col min="5637" max="5637" width="9.7109375" style="50" customWidth="1"/>
    <col min="5638" max="5638" width="11.42578125" style="50" customWidth="1"/>
    <col min="5639" max="5639" width="9.7109375" style="50" customWidth="1"/>
    <col min="5640" max="5888" width="9" style="50"/>
    <col min="5889" max="5889" width="6" style="50" customWidth="1"/>
    <col min="5890" max="5890" width="6.7109375" style="50" customWidth="1"/>
    <col min="5891" max="5891" width="9.85546875" style="50" customWidth="1"/>
    <col min="5892" max="5892" width="9" style="50" bestFit="1" customWidth="1"/>
    <col min="5893" max="5893" width="9.7109375" style="50" customWidth="1"/>
    <col min="5894" max="5894" width="11.42578125" style="50" customWidth="1"/>
    <col min="5895" max="5895" width="9.7109375" style="50" customWidth="1"/>
    <col min="5896" max="6144" width="9" style="50"/>
    <col min="6145" max="6145" width="6" style="50" customWidth="1"/>
    <col min="6146" max="6146" width="6.7109375" style="50" customWidth="1"/>
    <col min="6147" max="6147" width="9.85546875" style="50" customWidth="1"/>
    <col min="6148" max="6148" width="9" style="50" bestFit="1" customWidth="1"/>
    <col min="6149" max="6149" width="9.7109375" style="50" customWidth="1"/>
    <col min="6150" max="6150" width="11.42578125" style="50" customWidth="1"/>
    <col min="6151" max="6151" width="9.7109375" style="50" customWidth="1"/>
    <col min="6152" max="6400" width="9" style="50"/>
    <col min="6401" max="6401" width="6" style="50" customWidth="1"/>
    <col min="6402" max="6402" width="6.7109375" style="50" customWidth="1"/>
    <col min="6403" max="6403" width="9.85546875" style="50" customWidth="1"/>
    <col min="6404" max="6404" width="9" style="50" bestFit="1" customWidth="1"/>
    <col min="6405" max="6405" width="9.7109375" style="50" customWidth="1"/>
    <col min="6406" max="6406" width="11.42578125" style="50" customWidth="1"/>
    <col min="6407" max="6407" width="9.7109375" style="50" customWidth="1"/>
    <col min="6408" max="6656" width="9" style="50"/>
    <col min="6657" max="6657" width="6" style="50" customWidth="1"/>
    <col min="6658" max="6658" width="6.7109375" style="50" customWidth="1"/>
    <col min="6659" max="6659" width="9.85546875" style="50" customWidth="1"/>
    <col min="6660" max="6660" width="9" style="50" bestFit="1" customWidth="1"/>
    <col min="6661" max="6661" width="9.7109375" style="50" customWidth="1"/>
    <col min="6662" max="6662" width="11.42578125" style="50" customWidth="1"/>
    <col min="6663" max="6663" width="9.7109375" style="50" customWidth="1"/>
    <col min="6664" max="6912" width="9" style="50"/>
    <col min="6913" max="6913" width="6" style="50" customWidth="1"/>
    <col min="6914" max="6914" width="6.7109375" style="50" customWidth="1"/>
    <col min="6915" max="6915" width="9.85546875" style="50" customWidth="1"/>
    <col min="6916" max="6916" width="9" style="50" bestFit="1" customWidth="1"/>
    <col min="6917" max="6917" width="9.7109375" style="50" customWidth="1"/>
    <col min="6918" max="6918" width="11.42578125" style="50" customWidth="1"/>
    <col min="6919" max="6919" width="9.7109375" style="50" customWidth="1"/>
    <col min="6920" max="7168" width="9" style="50"/>
    <col min="7169" max="7169" width="6" style="50" customWidth="1"/>
    <col min="7170" max="7170" width="6.7109375" style="50" customWidth="1"/>
    <col min="7171" max="7171" width="9.85546875" style="50" customWidth="1"/>
    <col min="7172" max="7172" width="9" style="50" bestFit="1" customWidth="1"/>
    <col min="7173" max="7173" width="9.7109375" style="50" customWidth="1"/>
    <col min="7174" max="7174" width="11.42578125" style="50" customWidth="1"/>
    <col min="7175" max="7175" width="9.7109375" style="50" customWidth="1"/>
    <col min="7176" max="7424" width="9" style="50"/>
    <col min="7425" max="7425" width="6" style="50" customWidth="1"/>
    <col min="7426" max="7426" width="6.7109375" style="50" customWidth="1"/>
    <col min="7427" max="7427" width="9.85546875" style="50" customWidth="1"/>
    <col min="7428" max="7428" width="9" style="50" bestFit="1" customWidth="1"/>
    <col min="7429" max="7429" width="9.7109375" style="50" customWidth="1"/>
    <col min="7430" max="7430" width="11.42578125" style="50" customWidth="1"/>
    <col min="7431" max="7431" width="9.7109375" style="50" customWidth="1"/>
    <col min="7432" max="7680" width="9" style="50"/>
    <col min="7681" max="7681" width="6" style="50" customWidth="1"/>
    <col min="7682" max="7682" width="6.7109375" style="50" customWidth="1"/>
    <col min="7683" max="7683" width="9.85546875" style="50" customWidth="1"/>
    <col min="7684" max="7684" width="9" style="50" bestFit="1" customWidth="1"/>
    <col min="7685" max="7685" width="9.7109375" style="50" customWidth="1"/>
    <col min="7686" max="7686" width="11.42578125" style="50" customWidth="1"/>
    <col min="7687" max="7687" width="9.7109375" style="50" customWidth="1"/>
    <col min="7688" max="7936" width="9" style="50"/>
    <col min="7937" max="7937" width="6" style="50" customWidth="1"/>
    <col min="7938" max="7938" width="6.7109375" style="50" customWidth="1"/>
    <col min="7939" max="7939" width="9.85546875" style="50" customWidth="1"/>
    <col min="7940" max="7940" width="9" style="50" bestFit="1" customWidth="1"/>
    <col min="7941" max="7941" width="9.7109375" style="50" customWidth="1"/>
    <col min="7942" max="7942" width="11.42578125" style="50" customWidth="1"/>
    <col min="7943" max="7943" width="9.7109375" style="50" customWidth="1"/>
    <col min="7944" max="8192" width="9" style="50"/>
    <col min="8193" max="8193" width="6" style="50" customWidth="1"/>
    <col min="8194" max="8194" width="6.7109375" style="50" customWidth="1"/>
    <col min="8195" max="8195" width="9.85546875" style="50" customWidth="1"/>
    <col min="8196" max="8196" width="9" style="50" bestFit="1" customWidth="1"/>
    <col min="8197" max="8197" width="9.7109375" style="50" customWidth="1"/>
    <col min="8198" max="8198" width="11.42578125" style="50" customWidth="1"/>
    <col min="8199" max="8199" width="9.7109375" style="50" customWidth="1"/>
    <col min="8200" max="8448" width="9" style="50"/>
    <col min="8449" max="8449" width="6" style="50" customWidth="1"/>
    <col min="8450" max="8450" width="6.7109375" style="50" customWidth="1"/>
    <col min="8451" max="8451" width="9.85546875" style="50" customWidth="1"/>
    <col min="8452" max="8452" width="9" style="50" bestFit="1" customWidth="1"/>
    <col min="8453" max="8453" width="9.7109375" style="50" customWidth="1"/>
    <col min="8454" max="8454" width="11.42578125" style="50" customWidth="1"/>
    <col min="8455" max="8455" width="9.7109375" style="50" customWidth="1"/>
    <col min="8456" max="8704" width="9" style="50"/>
    <col min="8705" max="8705" width="6" style="50" customWidth="1"/>
    <col min="8706" max="8706" width="6.7109375" style="50" customWidth="1"/>
    <col min="8707" max="8707" width="9.85546875" style="50" customWidth="1"/>
    <col min="8708" max="8708" width="9" style="50" bestFit="1" customWidth="1"/>
    <col min="8709" max="8709" width="9.7109375" style="50" customWidth="1"/>
    <col min="8710" max="8710" width="11.42578125" style="50" customWidth="1"/>
    <col min="8711" max="8711" width="9.7109375" style="50" customWidth="1"/>
    <col min="8712" max="8960" width="9" style="50"/>
    <col min="8961" max="8961" width="6" style="50" customWidth="1"/>
    <col min="8962" max="8962" width="6.7109375" style="50" customWidth="1"/>
    <col min="8963" max="8963" width="9.85546875" style="50" customWidth="1"/>
    <col min="8964" max="8964" width="9" style="50" bestFit="1" customWidth="1"/>
    <col min="8965" max="8965" width="9.7109375" style="50" customWidth="1"/>
    <col min="8966" max="8966" width="11.42578125" style="50" customWidth="1"/>
    <col min="8967" max="8967" width="9.7109375" style="50" customWidth="1"/>
    <col min="8968" max="9216" width="9" style="50"/>
    <col min="9217" max="9217" width="6" style="50" customWidth="1"/>
    <col min="9218" max="9218" width="6.7109375" style="50" customWidth="1"/>
    <col min="9219" max="9219" width="9.85546875" style="50" customWidth="1"/>
    <col min="9220" max="9220" width="9" style="50" bestFit="1" customWidth="1"/>
    <col min="9221" max="9221" width="9.7109375" style="50" customWidth="1"/>
    <col min="9222" max="9222" width="11.42578125" style="50" customWidth="1"/>
    <col min="9223" max="9223" width="9.7109375" style="50" customWidth="1"/>
    <col min="9224" max="9472" width="9" style="50"/>
    <col min="9473" max="9473" width="6" style="50" customWidth="1"/>
    <col min="9474" max="9474" width="6.7109375" style="50" customWidth="1"/>
    <col min="9475" max="9475" width="9.85546875" style="50" customWidth="1"/>
    <col min="9476" max="9476" width="9" style="50" bestFit="1" customWidth="1"/>
    <col min="9477" max="9477" width="9.7109375" style="50" customWidth="1"/>
    <col min="9478" max="9478" width="11.42578125" style="50" customWidth="1"/>
    <col min="9479" max="9479" width="9.7109375" style="50" customWidth="1"/>
    <col min="9480" max="9728" width="9" style="50"/>
    <col min="9729" max="9729" width="6" style="50" customWidth="1"/>
    <col min="9730" max="9730" width="6.7109375" style="50" customWidth="1"/>
    <col min="9731" max="9731" width="9.85546875" style="50" customWidth="1"/>
    <col min="9732" max="9732" width="9" style="50" bestFit="1" customWidth="1"/>
    <col min="9733" max="9733" width="9.7109375" style="50" customWidth="1"/>
    <col min="9734" max="9734" width="11.42578125" style="50" customWidth="1"/>
    <col min="9735" max="9735" width="9.7109375" style="50" customWidth="1"/>
    <col min="9736" max="9984" width="9" style="50"/>
    <col min="9985" max="9985" width="6" style="50" customWidth="1"/>
    <col min="9986" max="9986" width="6.7109375" style="50" customWidth="1"/>
    <col min="9987" max="9987" width="9.85546875" style="50" customWidth="1"/>
    <col min="9988" max="9988" width="9" style="50" bestFit="1" customWidth="1"/>
    <col min="9989" max="9989" width="9.7109375" style="50" customWidth="1"/>
    <col min="9990" max="9990" width="11.42578125" style="50" customWidth="1"/>
    <col min="9991" max="9991" width="9.7109375" style="50" customWidth="1"/>
    <col min="9992" max="10240" width="9" style="50"/>
    <col min="10241" max="10241" width="6" style="50" customWidth="1"/>
    <col min="10242" max="10242" width="6.7109375" style="50" customWidth="1"/>
    <col min="10243" max="10243" width="9.85546875" style="50" customWidth="1"/>
    <col min="10244" max="10244" width="9" style="50" bestFit="1" customWidth="1"/>
    <col min="10245" max="10245" width="9.7109375" style="50" customWidth="1"/>
    <col min="10246" max="10246" width="11.42578125" style="50" customWidth="1"/>
    <col min="10247" max="10247" width="9.7109375" style="50" customWidth="1"/>
    <col min="10248" max="10496" width="9" style="50"/>
    <col min="10497" max="10497" width="6" style="50" customWidth="1"/>
    <col min="10498" max="10498" width="6.7109375" style="50" customWidth="1"/>
    <col min="10499" max="10499" width="9.85546875" style="50" customWidth="1"/>
    <col min="10500" max="10500" width="9" style="50" bestFit="1" customWidth="1"/>
    <col min="10501" max="10501" width="9.7109375" style="50" customWidth="1"/>
    <col min="10502" max="10502" width="11.42578125" style="50" customWidth="1"/>
    <col min="10503" max="10503" width="9.7109375" style="50" customWidth="1"/>
    <col min="10504" max="10752" width="9" style="50"/>
    <col min="10753" max="10753" width="6" style="50" customWidth="1"/>
    <col min="10754" max="10754" width="6.7109375" style="50" customWidth="1"/>
    <col min="10755" max="10755" width="9.85546875" style="50" customWidth="1"/>
    <col min="10756" max="10756" width="9" style="50" bestFit="1" customWidth="1"/>
    <col min="10757" max="10757" width="9.7109375" style="50" customWidth="1"/>
    <col min="10758" max="10758" width="11.42578125" style="50" customWidth="1"/>
    <col min="10759" max="10759" width="9.7109375" style="50" customWidth="1"/>
    <col min="10760" max="11008" width="9" style="50"/>
    <col min="11009" max="11009" width="6" style="50" customWidth="1"/>
    <col min="11010" max="11010" width="6.7109375" style="50" customWidth="1"/>
    <col min="11011" max="11011" width="9.85546875" style="50" customWidth="1"/>
    <col min="11012" max="11012" width="9" style="50" bestFit="1" customWidth="1"/>
    <col min="11013" max="11013" width="9.7109375" style="50" customWidth="1"/>
    <col min="11014" max="11014" width="11.42578125" style="50" customWidth="1"/>
    <col min="11015" max="11015" width="9.7109375" style="50" customWidth="1"/>
    <col min="11016" max="11264" width="9" style="50"/>
    <col min="11265" max="11265" width="6" style="50" customWidth="1"/>
    <col min="11266" max="11266" width="6.7109375" style="50" customWidth="1"/>
    <col min="11267" max="11267" width="9.85546875" style="50" customWidth="1"/>
    <col min="11268" max="11268" width="9" style="50" bestFit="1" customWidth="1"/>
    <col min="11269" max="11269" width="9.7109375" style="50" customWidth="1"/>
    <col min="11270" max="11270" width="11.42578125" style="50" customWidth="1"/>
    <col min="11271" max="11271" width="9.7109375" style="50" customWidth="1"/>
    <col min="11272" max="11520" width="9" style="50"/>
    <col min="11521" max="11521" width="6" style="50" customWidth="1"/>
    <col min="11522" max="11522" width="6.7109375" style="50" customWidth="1"/>
    <col min="11523" max="11523" width="9.85546875" style="50" customWidth="1"/>
    <col min="11524" max="11524" width="9" style="50" bestFit="1" customWidth="1"/>
    <col min="11525" max="11525" width="9.7109375" style="50" customWidth="1"/>
    <col min="11526" max="11526" width="11.42578125" style="50" customWidth="1"/>
    <col min="11527" max="11527" width="9.7109375" style="50" customWidth="1"/>
    <col min="11528" max="11776" width="9" style="50"/>
    <col min="11777" max="11777" width="6" style="50" customWidth="1"/>
    <col min="11778" max="11778" width="6.7109375" style="50" customWidth="1"/>
    <col min="11779" max="11779" width="9.85546875" style="50" customWidth="1"/>
    <col min="11780" max="11780" width="9" style="50" bestFit="1" customWidth="1"/>
    <col min="11781" max="11781" width="9.7109375" style="50" customWidth="1"/>
    <col min="11782" max="11782" width="11.42578125" style="50" customWidth="1"/>
    <col min="11783" max="11783" width="9.7109375" style="50" customWidth="1"/>
    <col min="11784" max="12032" width="9" style="50"/>
    <col min="12033" max="12033" width="6" style="50" customWidth="1"/>
    <col min="12034" max="12034" width="6.7109375" style="50" customWidth="1"/>
    <col min="12035" max="12035" width="9.85546875" style="50" customWidth="1"/>
    <col min="12036" max="12036" width="9" style="50" bestFit="1" customWidth="1"/>
    <col min="12037" max="12037" width="9.7109375" style="50" customWidth="1"/>
    <col min="12038" max="12038" width="11.42578125" style="50" customWidth="1"/>
    <col min="12039" max="12039" width="9.7109375" style="50" customWidth="1"/>
    <col min="12040" max="12288" width="9" style="50"/>
    <col min="12289" max="12289" width="6" style="50" customWidth="1"/>
    <col min="12290" max="12290" width="6.7109375" style="50" customWidth="1"/>
    <col min="12291" max="12291" width="9.85546875" style="50" customWidth="1"/>
    <col min="12292" max="12292" width="9" style="50" bestFit="1" customWidth="1"/>
    <col min="12293" max="12293" width="9.7109375" style="50" customWidth="1"/>
    <col min="12294" max="12294" width="11.42578125" style="50" customWidth="1"/>
    <col min="12295" max="12295" width="9.7109375" style="50" customWidth="1"/>
    <col min="12296" max="12544" width="9" style="50"/>
    <col min="12545" max="12545" width="6" style="50" customWidth="1"/>
    <col min="12546" max="12546" width="6.7109375" style="50" customWidth="1"/>
    <col min="12547" max="12547" width="9.85546875" style="50" customWidth="1"/>
    <col min="12548" max="12548" width="9" style="50" bestFit="1" customWidth="1"/>
    <col min="12549" max="12549" width="9.7109375" style="50" customWidth="1"/>
    <col min="12550" max="12550" width="11.42578125" style="50" customWidth="1"/>
    <col min="12551" max="12551" width="9.7109375" style="50" customWidth="1"/>
    <col min="12552" max="12800" width="9" style="50"/>
    <col min="12801" max="12801" width="6" style="50" customWidth="1"/>
    <col min="12802" max="12802" width="6.7109375" style="50" customWidth="1"/>
    <col min="12803" max="12803" width="9.85546875" style="50" customWidth="1"/>
    <col min="12804" max="12804" width="9" style="50" bestFit="1" customWidth="1"/>
    <col min="12805" max="12805" width="9.7109375" style="50" customWidth="1"/>
    <col min="12806" max="12806" width="11.42578125" style="50" customWidth="1"/>
    <col min="12807" max="12807" width="9.7109375" style="50" customWidth="1"/>
    <col min="12808" max="13056" width="9" style="50"/>
    <col min="13057" max="13057" width="6" style="50" customWidth="1"/>
    <col min="13058" max="13058" width="6.7109375" style="50" customWidth="1"/>
    <col min="13059" max="13059" width="9.85546875" style="50" customWidth="1"/>
    <col min="13060" max="13060" width="9" style="50" bestFit="1" customWidth="1"/>
    <col min="13061" max="13061" width="9.7109375" style="50" customWidth="1"/>
    <col min="13062" max="13062" width="11.42578125" style="50" customWidth="1"/>
    <col min="13063" max="13063" width="9.7109375" style="50" customWidth="1"/>
    <col min="13064" max="13312" width="9" style="50"/>
    <col min="13313" max="13313" width="6" style="50" customWidth="1"/>
    <col min="13314" max="13314" width="6.7109375" style="50" customWidth="1"/>
    <col min="13315" max="13315" width="9.85546875" style="50" customWidth="1"/>
    <col min="13316" max="13316" width="9" style="50" bestFit="1" customWidth="1"/>
    <col min="13317" max="13317" width="9.7109375" style="50" customWidth="1"/>
    <col min="13318" max="13318" width="11.42578125" style="50" customWidth="1"/>
    <col min="13319" max="13319" width="9.7109375" style="50" customWidth="1"/>
    <col min="13320" max="13568" width="9" style="50"/>
    <col min="13569" max="13569" width="6" style="50" customWidth="1"/>
    <col min="13570" max="13570" width="6.7109375" style="50" customWidth="1"/>
    <col min="13571" max="13571" width="9.85546875" style="50" customWidth="1"/>
    <col min="13572" max="13572" width="9" style="50" bestFit="1" customWidth="1"/>
    <col min="13573" max="13573" width="9.7109375" style="50" customWidth="1"/>
    <col min="13574" max="13574" width="11.42578125" style="50" customWidth="1"/>
    <col min="13575" max="13575" width="9.7109375" style="50" customWidth="1"/>
    <col min="13576" max="13824" width="9" style="50"/>
    <col min="13825" max="13825" width="6" style="50" customWidth="1"/>
    <col min="13826" max="13826" width="6.7109375" style="50" customWidth="1"/>
    <col min="13827" max="13827" width="9.85546875" style="50" customWidth="1"/>
    <col min="13828" max="13828" width="9" style="50" bestFit="1" customWidth="1"/>
    <col min="13829" max="13829" width="9.7109375" style="50" customWidth="1"/>
    <col min="13830" max="13830" width="11.42578125" style="50" customWidth="1"/>
    <col min="13831" max="13831" width="9.7109375" style="50" customWidth="1"/>
    <col min="13832" max="14080" width="9" style="50"/>
    <col min="14081" max="14081" width="6" style="50" customWidth="1"/>
    <col min="14082" max="14082" width="6.7109375" style="50" customWidth="1"/>
    <col min="14083" max="14083" width="9.85546875" style="50" customWidth="1"/>
    <col min="14084" max="14084" width="9" style="50" bestFit="1" customWidth="1"/>
    <col min="14085" max="14085" width="9.7109375" style="50" customWidth="1"/>
    <col min="14086" max="14086" width="11.42578125" style="50" customWidth="1"/>
    <col min="14087" max="14087" width="9.7109375" style="50" customWidth="1"/>
    <col min="14088" max="14336" width="9" style="50"/>
    <col min="14337" max="14337" width="6" style="50" customWidth="1"/>
    <col min="14338" max="14338" width="6.7109375" style="50" customWidth="1"/>
    <col min="14339" max="14339" width="9.85546875" style="50" customWidth="1"/>
    <col min="14340" max="14340" width="9" style="50" bestFit="1" customWidth="1"/>
    <col min="14341" max="14341" width="9.7109375" style="50" customWidth="1"/>
    <col min="14342" max="14342" width="11.42578125" style="50" customWidth="1"/>
    <col min="14343" max="14343" width="9.7109375" style="50" customWidth="1"/>
    <col min="14344" max="14592" width="9" style="50"/>
    <col min="14593" max="14593" width="6" style="50" customWidth="1"/>
    <col min="14594" max="14594" width="6.7109375" style="50" customWidth="1"/>
    <col min="14595" max="14595" width="9.85546875" style="50" customWidth="1"/>
    <col min="14596" max="14596" width="9" style="50" bestFit="1" customWidth="1"/>
    <col min="14597" max="14597" width="9.7109375" style="50" customWidth="1"/>
    <col min="14598" max="14598" width="11.42578125" style="50" customWidth="1"/>
    <col min="14599" max="14599" width="9.7109375" style="50" customWidth="1"/>
    <col min="14600" max="14848" width="9" style="50"/>
    <col min="14849" max="14849" width="6" style="50" customWidth="1"/>
    <col min="14850" max="14850" width="6.7109375" style="50" customWidth="1"/>
    <col min="14851" max="14851" width="9.85546875" style="50" customWidth="1"/>
    <col min="14852" max="14852" width="9" style="50" bestFit="1" customWidth="1"/>
    <col min="14853" max="14853" width="9.7109375" style="50" customWidth="1"/>
    <col min="14854" max="14854" width="11.42578125" style="50" customWidth="1"/>
    <col min="14855" max="14855" width="9.7109375" style="50" customWidth="1"/>
    <col min="14856" max="15104" width="9" style="50"/>
    <col min="15105" max="15105" width="6" style="50" customWidth="1"/>
    <col min="15106" max="15106" width="6.7109375" style="50" customWidth="1"/>
    <col min="15107" max="15107" width="9.85546875" style="50" customWidth="1"/>
    <col min="15108" max="15108" width="9" style="50" bestFit="1" customWidth="1"/>
    <col min="15109" max="15109" width="9.7109375" style="50" customWidth="1"/>
    <col min="15110" max="15110" width="11.42578125" style="50" customWidth="1"/>
    <col min="15111" max="15111" width="9.7109375" style="50" customWidth="1"/>
    <col min="15112" max="15360" width="9" style="50"/>
    <col min="15361" max="15361" width="6" style="50" customWidth="1"/>
    <col min="15362" max="15362" width="6.7109375" style="50" customWidth="1"/>
    <col min="15363" max="15363" width="9.85546875" style="50" customWidth="1"/>
    <col min="15364" max="15364" width="9" style="50" bestFit="1" customWidth="1"/>
    <col min="15365" max="15365" width="9.7109375" style="50" customWidth="1"/>
    <col min="15366" max="15366" width="11.42578125" style="50" customWidth="1"/>
    <col min="15367" max="15367" width="9.7109375" style="50" customWidth="1"/>
    <col min="15368" max="15616" width="9" style="50"/>
    <col min="15617" max="15617" width="6" style="50" customWidth="1"/>
    <col min="15618" max="15618" width="6.7109375" style="50" customWidth="1"/>
    <col min="15619" max="15619" width="9.85546875" style="50" customWidth="1"/>
    <col min="15620" max="15620" width="9" style="50" bestFit="1" customWidth="1"/>
    <col min="15621" max="15621" width="9.7109375" style="50" customWidth="1"/>
    <col min="15622" max="15622" width="11.42578125" style="50" customWidth="1"/>
    <col min="15623" max="15623" width="9.7109375" style="50" customWidth="1"/>
    <col min="15624" max="15872" width="9" style="50"/>
    <col min="15873" max="15873" width="6" style="50" customWidth="1"/>
    <col min="15874" max="15874" width="6.7109375" style="50" customWidth="1"/>
    <col min="15875" max="15875" width="9.85546875" style="50" customWidth="1"/>
    <col min="15876" max="15876" width="9" style="50" bestFit="1" customWidth="1"/>
    <col min="15877" max="15877" width="9.7109375" style="50" customWidth="1"/>
    <col min="15878" max="15878" width="11.42578125" style="50" customWidth="1"/>
    <col min="15879" max="15879" width="9.7109375" style="50" customWidth="1"/>
    <col min="15880" max="16128" width="9" style="50"/>
    <col min="16129" max="16129" width="6" style="50" customWidth="1"/>
    <col min="16130" max="16130" width="6.7109375" style="50" customWidth="1"/>
    <col min="16131" max="16131" width="9.85546875" style="50" customWidth="1"/>
    <col min="16132" max="16132" width="9" style="50" bestFit="1" customWidth="1"/>
    <col min="16133" max="16133" width="9.7109375" style="50" customWidth="1"/>
    <col min="16134" max="16134" width="11.42578125" style="50" customWidth="1"/>
    <col min="16135" max="16135" width="9.7109375" style="50" customWidth="1"/>
    <col min="16136" max="16384" width="9" style="50"/>
  </cols>
  <sheetData>
    <row r="1" spans="1:10" ht="15.75">
      <c r="A1" s="48" t="s">
        <v>330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5">
      <c r="A2" s="51"/>
      <c r="B2" s="52"/>
      <c r="C2" s="52"/>
      <c r="D2" s="52"/>
      <c r="E2" s="52"/>
      <c r="F2" s="52"/>
      <c r="G2" s="52"/>
      <c r="H2" s="52"/>
    </row>
    <row r="3" spans="1:10">
      <c r="A3" s="53" t="s">
        <v>331</v>
      </c>
    </row>
    <row r="4" spans="1:10">
      <c r="A4" s="50" t="s">
        <v>332</v>
      </c>
    </row>
    <row r="5" spans="1:10">
      <c r="A5" s="50" t="s">
        <v>333</v>
      </c>
    </row>
    <row r="6" spans="1:10">
      <c r="A6" s="50" t="s">
        <v>334</v>
      </c>
    </row>
    <row r="7" spans="1:10">
      <c r="A7" s="50" t="s">
        <v>335</v>
      </c>
    </row>
    <row r="8" spans="1:10">
      <c r="A8" s="50" t="s">
        <v>336</v>
      </c>
    </row>
    <row r="9" spans="1:10">
      <c r="A9" s="50" t="s">
        <v>337</v>
      </c>
    </row>
    <row r="10" spans="1:10">
      <c r="A10" s="50" t="s">
        <v>338</v>
      </c>
    </row>
    <row r="12" spans="1:10">
      <c r="A12" s="50" t="s">
        <v>339</v>
      </c>
      <c r="C12" s="50">
        <v>11</v>
      </c>
      <c r="E12" s="50" t="s">
        <v>340</v>
      </c>
      <c r="F12" s="54">
        <v>0.05</v>
      </c>
    </row>
    <row r="13" spans="1:10">
      <c r="A13" s="50" t="s">
        <v>341</v>
      </c>
      <c r="C13" s="55">
        <v>46000</v>
      </c>
      <c r="E13" s="50" t="s">
        <v>342</v>
      </c>
      <c r="F13" s="56">
        <v>4.4999999999999998E-2</v>
      </c>
    </row>
    <row r="14" spans="1:10">
      <c r="A14" s="50" t="s">
        <v>343</v>
      </c>
      <c r="C14" s="55" t="s">
        <v>344</v>
      </c>
      <c r="E14" s="50" t="s">
        <v>345</v>
      </c>
      <c r="F14" s="56">
        <v>0.1</v>
      </c>
    </row>
    <row r="15" spans="1:10">
      <c r="C15" s="55"/>
      <c r="F15" s="56"/>
    </row>
    <row r="16" spans="1:10">
      <c r="A16" s="53" t="s">
        <v>346</v>
      </c>
      <c r="C16" s="55"/>
      <c r="F16" s="56"/>
    </row>
    <row r="17" spans="1:8">
      <c r="A17" s="50" t="s">
        <v>347</v>
      </c>
      <c r="C17" s="55"/>
      <c r="F17" s="56"/>
    </row>
    <row r="18" spans="1:8">
      <c r="A18" s="50" t="s">
        <v>348</v>
      </c>
      <c r="C18" s="55"/>
      <c r="F18" s="56"/>
    </row>
    <row r="19" spans="1:8">
      <c r="A19" s="50" t="s">
        <v>349</v>
      </c>
      <c r="C19" s="55"/>
      <c r="F19" s="56"/>
    </row>
    <row r="20" spans="1:8">
      <c r="A20" s="50" t="s">
        <v>350</v>
      </c>
      <c r="C20" s="55"/>
      <c r="F20" s="56"/>
    </row>
    <row r="22" spans="1:8">
      <c r="B22" s="57" t="s">
        <v>351</v>
      </c>
      <c r="C22" s="50">
        <f>((46000*1.05^7)/(0.045-0.05))*((1-((1+0.05)^4)/(1.045)^4))</f>
        <v>249541.23687232641</v>
      </c>
      <c r="D22" s="58" t="s">
        <v>352</v>
      </c>
      <c r="E22" s="58"/>
      <c r="F22" s="58"/>
      <c r="G22" s="58"/>
      <c r="H22" s="58"/>
    </row>
    <row r="23" spans="1:8">
      <c r="B23" s="57" t="s">
        <v>353</v>
      </c>
      <c r="C23" s="59">
        <f>C22/(1/(0.045-0.1)*(1-((1+0.1)^7)/(1.045)^7))/(1.045^7)</f>
        <v>23347.188907313215</v>
      </c>
      <c r="D23" s="60" t="s">
        <v>354</v>
      </c>
      <c r="E23" s="58"/>
      <c r="F23" s="58"/>
      <c r="G23" s="58"/>
      <c r="H23" s="58"/>
    </row>
    <row r="27" spans="1:8">
      <c r="A27" s="61" t="s">
        <v>355</v>
      </c>
      <c r="B27" s="61"/>
    </row>
    <row r="28" spans="1:8">
      <c r="A28" s="58"/>
      <c r="B28" s="58"/>
    </row>
    <row r="29" spans="1:8" ht="38.25">
      <c r="A29" s="62" t="s">
        <v>294</v>
      </c>
      <c r="B29" s="62" t="s">
        <v>356</v>
      </c>
      <c r="C29" s="62" t="s">
        <v>357</v>
      </c>
      <c r="D29" s="62" t="s">
        <v>358</v>
      </c>
      <c r="E29" s="62" t="s">
        <v>296</v>
      </c>
      <c r="F29" s="62" t="s">
        <v>359</v>
      </c>
      <c r="G29" s="62" t="s">
        <v>360</v>
      </c>
      <c r="H29" s="63"/>
    </row>
    <row r="30" spans="1:8">
      <c r="A30" s="50">
        <v>1</v>
      </c>
      <c r="B30" s="50">
        <f>10+A30</f>
        <v>11</v>
      </c>
      <c r="C30" s="50">
        <v>0</v>
      </c>
      <c r="D30" s="50">
        <f>C23</f>
        <v>23347.188907313215</v>
      </c>
      <c r="E30" s="50">
        <f>C30*0.045</f>
        <v>0</v>
      </c>
      <c r="F30" s="50">
        <v>0</v>
      </c>
      <c r="G30" s="50">
        <f t="shared" ref="G30:G40" si="0">D30+E30+F30</f>
        <v>23347.188907313215</v>
      </c>
    </row>
    <row r="31" spans="1:8">
      <c r="A31" s="50">
        <f t="shared" ref="A31:B40" si="1">A30+1</f>
        <v>2</v>
      </c>
      <c r="B31" s="50">
        <f t="shared" si="1"/>
        <v>12</v>
      </c>
      <c r="C31" s="50">
        <f t="shared" ref="C31:C40" si="2">G30</f>
        <v>23347.188907313215</v>
      </c>
      <c r="D31" s="50">
        <f t="shared" ref="D31:D36" si="3">D30*1.1</f>
        <v>25681.90779804454</v>
      </c>
      <c r="E31" s="50">
        <f t="shared" ref="E31:E40" si="4">C31*1.045</f>
        <v>24397.812408142308</v>
      </c>
      <c r="F31" s="50">
        <v>0</v>
      </c>
      <c r="G31" s="50">
        <f t="shared" si="0"/>
        <v>50079.720206186845</v>
      </c>
    </row>
    <row r="32" spans="1:8">
      <c r="A32" s="50">
        <f t="shared" si="1"/>
        <v>3</v>
      </c>
      <c r="B32" s="50">
        <f t="shared" si="1"/>
        <v>13</v>
      </c>
      <c r="C32" s="50">
        <f t="shared" si="2"/>
        <v>50079.720206186845</v>
      </c>
      <c r="D32" s="50">
        <f t="shared" si="3"/>
        <v>28250.098577848996</v>
      </c>
      <c r="E32" s="50">
        <f t="shared" si="4"/>
        <v>52333.307615465252</v>
      </c>
      <c r="F32" s="50">
        <v>0</v>
      </c>
      <c r="G32" s="50">
        <f t="shared" si="0"/>
        <v>80583.406193314251</v>
      </c>
    </row>
    <row r="33" spans="1:8">
      <c r="A33" s="50">
        <f t="shared" si="1"/>
        <v>4</v>
      </c>
      <c r="B33" s="50">
        <f t="shared" si="1"/>
        <v>14</v>
      </c>
      <c r="C33" s="50">
        <f t="shared" si="2"/>
        <v>80583.406193314251</v>
      </c>
      <c r="D33" s="50">
        <f t="shared" si="3"/>
        <v>31075.108435633898</v>
      </c>
      <c r="E33" s="50">
        <f t="shared" si="4"/>
        <v>84209.659472013387</v>
      </c>
      <c r="F33" s="50">
        <v>0</v>
      </c>
      <c r="G33" s="50">
        <f t="shared" si="0"/>
        <v>115284.76790764729</v>
      </c>
    </row>
    <row r="34" spans="1:8">
      <c r="A34" s="50">
        <f t="shared" si="1"/>
        <v>5</v>
      </c>
      <c r="B34" s="50">
        <f t="shared" si="1"/>
        <v>15</v>
      </c>
      <c r="C34" s="50">
        <f t="shared" si="2"/>
        <v>115284.76790764729</v>
      </c>
      <c r="D34" s="50">
        <f t="shared" si="3"/>
        <v>34182.619279197294</v>
      </c>
      <c r="E34" s="50">
        <f t="shared" si="4"/>
        <v>120472.5824634914</v>
      </c>
      <c r="F34" s="50">
        <v>0</v>
      </c>
      <c r="G34" s="50">
        <f t="shared" si="0"/>
        <v>154655.20174268869</v>
      </c>
    </row>
    <row r="35" spans="1:8">
      <c r="A35" s="50">
        <f t="shared" si="1"/>
        <v>6</v>
      </c>
      <c r="B35" s="50">
        <f t="shared" si="1"/>
        <v>16</v>
      </c>
      <c r="C35" s="50">
        <f t="shared" si="2"/>
        <v>154655.20174268869</v>
      </c>
      <c r="D35" s="50">
        <f t="shared" si="3"/>
        <v>37600.881207117025</v>
      </c>
      <c r="E35" s="50">
        <f t="shared" si="4"/>
        <v>161614.68582110966</v>
      </c>
      <c r="F35" s="50">
        <v>0</v>
      </c>
      <c r="G35" s="50">
        <f t="shared" si="0"/>
        <v>199215.56702822668</v>
      </c>
    </row>
    <row r="36" spans="1:8">
      <c r="A36" s="50">
        <f t="shared" si="1"/>
        <v>7</v>
      </c>
      <c r="B36" s="50">
        <f t="shared" si="1"/>
        <v>17</v>
      </c>
      <c r="C36" s="50">
        <f t="shared" si="2"/>
        <v>199215.56702822668</v>
      </c>
      <c r="D36" s="50">
        <f t="shared" si="3"/>
        <v>41360.96932782873</v>
      </c>
      <c r="E36" s="50">
        <f t="shared" si="4"/>
        <v>208180.26754449686</v>
      </c>
      <c r="F36" s="50">
        <v>0</v>
      </c>
      <c r="G36" s="50">
        <f t="shared" si="0"/>
        <v>249541.23687232559</v>
      </c>
    </row>
    <row r="37" spans="1:8">
      <c r="A37" s="50">
        <f t="shared" si="1"/>
        <v>8</v>
      </c>
      <c r="B37" s="50">
        <f t="shared" si="1"/>
        <v>18</v>
      </c>
      <c r="C37" s="50">
        <f t="shared" si="2"/>
        <v>249541.23687232559</v>
      </c>
      <c r="D37" s="50">
        <v>0</v>
      </c>
      <c r="E37" s="50">
        <f t="shared" si="4"/>
        <v>260770.59253158022</v>
      </c>
      <c r="F37" s="50">
        <f>-46000*1.05^(A37-1)</f>
        <v>-64726.619442187512</v>
      </c>
      <c r="G37" s="50">
        <f t="shared" si="0"/>
        <v>196043.9730893927</v>
      </c>
    </row>
    <row r="38" spans="1:8">
      <c r="A38" s="50">
        <f t="shared" si="1"/>
        <v>9</v>
      </c>
      <c r="B38" s="50">
        <f t="shared" si="1"/>
        <v>19</v>
      </c>
      <c r="C38" s="50">
        <f t="shared" si="2"/>
        <v>196043.9730893927</v>
      </c>
      <c r="D38" s="50">
        <f>D37*1.1</f>
        <v>0</v>
      </c>
      <c r="E38" s="50">
        <f t="shared" si="4"/>
        <v>204865.95187841536</v>
      </c>
      <c r="F38" s="50">
        <f>-46000*1.05^(A38-1)</f>
        <v>-67962.95041429688</v>
      </c>
      <c r="G38" s="50">
        <f t="shared" si="0"/>
        <v>136903.00146411848</v>
      </c>
    </row>
    <row r="39" spans="1:8">
      <c r="A39" s="50">
        <f t="shared" si="1"/>
        <v>10</v>
      </c>
      <c r="B39" s="50">
        <f t="shared" si="1"/>
        <v>20</v>
      </c>
      <c r="C39" s="50">
        <f t="shared" si="2"/>
        <v>136903.00146411848</v>
      </c>
      <c r="D39" s="50">
        <f>D38*1.1</f>
        <v>0</v>
      </c>
      <c r="E39" s="50">
        <f t="shared" si="4"/>
        <v>143063.6365300038</v>
      </c>
      <c r="F39" s="50">
        <f>-46000*1.05^(A39-1)</f>
        <v>-71361.097935011727</v>
      </c>
      <c r="G39" s="50">
        <f t="shared" si="0"/>
        <v>71702.538594992075</v>
      </c>
    </row>
    <row r="40" spans="1:8">
      <c r="A40" s="50">
        <f t="shared" si="1"/>
        <v>11</v>
      </c>
      <c r="B40" s="50">
        <f t="shared" si="1"/>
        <v>21</v>
      </c>
      <c r="C40" s="50">
        <f t="shared" si="2"/>
        <v>71702.538594992075</v>
      </c>
      <c r="D40" s="50">
        <f>D39*1.1</f>
        <v>0</v>
      </c>
      <c r="E40" s="50">
        <f t="shared" si="4"/>
        <v>74929.152831766711</v>
      </c>
      <c r="F40" s="50">
        <f>-46000*1.05^(A40-1)</f>
        <v>-74929.152831762316</v>
      </c>
      <c r="G40" s="50">
        <f t="shared" si="0"/>
        <v>4.3946783989667892E-9</v>
      </c>
      <c r="H40" s="50" t="s">
        <v>361</v>
      </c>
    </row>
  </sheetData>
  <printOptions gridLines="1"/>
  <pageMargins left="0.75" right="0.75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B7" sqref="B7"/>
    </sheetView>
  </sheetViews>
  <sheetFormatPr defaultRowHeight="12.75"/>
  <cols>
    <col min="1" max="1" width="7.140625" style="37" customWidth="1"/>
    <col min="2" max="256" width="9.140625" style="37"/>
    <col min="257" max="257" width="7.140625" style="37" customWidth="1"/>
    <col min="258" max="512" width="9.140625" style="37"/>
    <col min="513" max="513" width="7.140625" style="37" customWidth="1"/>
    <col min="514" max="768" width="9.140625" style="37"/>
    <col min="769" max="769" width="7.140625" style="37" customWidth="1"/>
    <col min="770" max="1024" width="9.140625" style="37"/>
    <col min="1025" max="1025" width="7.140625" style="37" customWidth="1"/>
    <col min="1026" max="1280" width="9.140625" style="37"/>
    <col min="1281" max="1281" width="7.140625" style="37" customWidth="1"/>
    <col min="1282" max="1536" width="9.140625" style="37"/>
    <col min="1537" max="1537" width="7.140625" style="37" customWidth="1"/>
    <col min="1538" max="1792" width="9.140625" style="37"/>
    <col min="1793" max="1793" width="7.140625" style="37" customWidth="1"/>
    <col min="1794" max="2048" width="9.140625" style="37"/>
    <col min="2049" max="2049" width="7.140625" style="37" customWidth="1"/>
    <col min="2050" max="2304" width="9.140625" style="37"/>
    <col min="2305" max="2305" width="7.140625" style="37" customWidth="1"/>
    <col min="2306" max="2560" width="9.140625" style="37"/>
    <col min="2561" max="2561" width="7.140625" style="37" customWidth="1"/>
    <col min="2562" max="2816" width="9.140625" style="37"/>
    <col min="2817" max="2817" width="7.140625" style="37" customWidth="1"/>
    <col min="2818" max="3072" width="9.140625" style="37"/>
    <col min="3073" max="3073" width="7.140625" style="37" customWidth="1"/>
    <col min="3074" max="3328" width="9.140625" style="37"/>
    <col min="3329" max="3329" width="7.140625" style="37" customWidth="1"/>
    <col min="3330" max="3584" width="9.140625" style="37"/>
    <col min="3585" max="3585" width="7.140625" style="37" customWidth="1"/>
    <col min="3586" max="3840" width="9.140625" style="37"/>
    <col min="3841" max="3841" width="7.140625" style="37" customWidth="1"/>
    <col min="3842" max="4096" width="9.140625" style="37"/>
    <col min="4097" max="4097" width="7.140625" style="37" customWidth="1"/>
    <col min="4098" max="4352" width="9.140625" style="37"/>
    <col min="4353" max="4353" width="7.140625" style="37" customWidth="1"/>
    <col min="4354" max="4608" width="9.140625" style="37"/>
    <col min="4609" max="4609" width="7.140625" style="37" customWidth="1"/>
    <col min="4610" max="4864" width="9.140625" style="37"/>
    <col min="4865" max="4865" width="7.140625" style="37" customWidth="1"/>
    <col min="4866" max="5120" width="9.140625" style="37"/>
    <col min="5121" max="5121" width="7.140625" style="37" customWidth="1"/>
    <col min="5122" max="5376" width="9.140625" style="37"/>
    <col min="5377" max="5377" width="7.140625" style="37" customWidth="1"/>
    <col min="5378" max="5632" width="9.140625" style="37"/>
    <col min="5633" max="5633" width="7.140625" style="37" customWidth="1"/>
    <col min="5634" max="5888" width="9.140625" style="37"/>
    <col min="5889" max="5889" width="7.140625" style="37" customWidth="1"/>
    <col min="5890" max="6144" width="9.140625" style="37"/>
    <col min="6145" max="6145" width="7.140625" style="37" customWidth="1"/>
    <col min="6146" max="6400" width="9.140625" style="37"/>
    <col min="6401" max="6401" width="7.140625" style="37" customWidth="1"/>
    <col min="6402" max="6656" width="9.140625" style="37"/>
    <col min="6657" max="6657" width="7.140625" style="37" customWidth="1"/>
    <col min="6658" max="6912" width="9.140625" style="37"/>
    <col min="6913" max="6913" width="7.140625" style="37" customWidth="1"/>
    <col min="6914" max="7168" width="9.140625" style="37"/>
    <col min="7169" max="7169" width="7.140625" style="37" customWidth="1"/>
    <col min="7170" max="7424" width="9.140625" style="37"/>
    <col min="7425" max="7425" width="7.140625" style="37" customWidth="1"/>
    <col min="7426" max="7680" width="9.140625" style="37"/>
    <col min="7681" max="7681" width="7.140625" style="37" customWidth="1"/>
    <col min="7682" max="7936" width="9.140625" style="37"/>
    <col min="7937" max="7937" width="7.140625" style="37" customWidth="1"/>
    <col min="7938" max="8192" width="9.140625" style="37"/>
    <col min="8193" max="8193" width="7.140625" style="37" customWidth="1"/>
    <col min="8194" max="8448" width="9.140625" style="37"/>
    <col min="8449" max="8449" width="7.140625" style="37" customWidth="1"/>
    <col min="8450" max="8704" width="9.140625" style="37"/>
    <col min="8705" max="8705" width="7.140625" style="37" customWidth="1"/>
    <col min="8706" max="8960" width="9.140625" style="37"/>
    <col min="8961" max="8961" width="7.140625" style="37" customWidth="1"/>
    <col min="8962" max="9216" width="9.140625" style="37"/>
    <col min="9217" max="9217" width="7.140625" style="37" customWidth="1"/>
    <col min="9218" max="9472" width="9.140625" style="37"/>
    <col min="9473" max="9473" width="7.140625" style="37" customWidth="1"/>
    <col min="9474" max="9728" width="9.140625" style="37"/>
    <col min="9729" max="9729" width="7.140625" style="37" customWidth="1"/>
    <col min="9730" max="9984" width="9.140625" style="37"/>
    <col min="9985" max="9985" width="7.140625" style="37" customWidth="1"/>
    <col min="9986" max="10240" width="9.140625" style="37"/>
    <col min="10241" max="10241" width="7.140625" style="37" customWidth="1"/>
    <col min="10242" max="10496" width="9.140625" style="37"/>
    <col min="10497" max="10497" width="7.140625" style="37" customWidth="1"/>
    <col min="10498" max="10752" width="9.140625" style="37"/>
    <col min="10753" max="10753" width="7.140625" style="37" customWidth="1"/>
    <col min="10754" max="11008" width="9.140625" style="37"/>
    <col min="11009" max="11009" width="7.140625" style="37" customWidth="1"/>
    <col min="11010" max="11264" width="9.140625" style="37"/>
    <col min="11265" max="11265" width="7.140625" style="37" customWidth="1"/>
    <col min="11266" max="11520" width="9.140625" style="37"/>
    <col min="11521" max="11521" width="7.140625" style="37" customWidth="1"/>
    <col min="11522" max="11776" width="9.140625" style="37"/>
    <col min="11777" max="11777" width="7.140625" style="37" customWidth="1"/>
    <col min="11778" max="12032" width="9.140625" style="37"/>
    <col min="12033" max="12033" width="7.140625" style="37" customWidth="1"/>
    <col min="12034" max="12288" width="9.140625" style="37"/>
    <col min="12289" max="12289" width="7.140625" style="37" customWidth="1"/>
    <col min="12290" max="12544" width="9.140625" style="37"/>
    <col min="12545" max="12545" width="7.140625" style="37" customWidth="1"/>
    <col min="12546" max="12800" width="9.140625" style="37"/>
    <col min="12801" max="12801" width="7.140625" style="37" customWidth="1"/>
    <col min="12802" max="13056" width="9.140625" style="37"/>
    <col min="13057" max="13057" width="7.140625" style="37" customWidth="1"/>
    <col min="13058" max="13312" width="9.140625" style="37"/>
    <col min="13313" max="13313" width="7.140625" style="37" customWidth="1"/>
    <col min="13314" max="13568" width="9.140625" style="37"/>
    <col min="13569" max="13569" width="7.140625" style="37" customWidth="1"/>
    <col min="13570" max="13824" width="9.140625" style="37"/>
    <col min="13825" max="13825" width="7.140625" style="37" customWidth="1"/>
    <col min="13826" max="14080" width="9.140625" style="37"/>
    <col min="14081" max="14081" width="7.140625" style="37" customWidth="1"/>
    <col min="14082" max="14336" width="9.140625" style="37"/>
    <col min="14337" max="14337" width="7.140625" style="37" customWidth="1"/>
    <col min="14338" max="14592" width="9.140625" style="37"/>
    <col min="14593" max="14593" width="7.140625" style="37" customWidth="1"/>
    <col min="14594" max="14848" width="9.140625" style="37"/>
    <col min="14849" max="14849" width="7.140625" style="37" customWidth="1"/>
    <col min="14850" max="15104" width="9.140625" style="37"/>
    <col min="15105" max="15105" width="7.140625" style="37" customWidth="1"/>
    <col min="15106" max="15360" width="9.140625" style="37"/>
    <col min="15361" max="15361" width="7.140625" style="37" customWidth="1"/>
    <col min="15362" max="15616" width="9.140625" style="37"/>
    <col min="15617" max="15617" width="7.140625" style="37" customWidth="1"/>
    <col min="15618" max="15872" width="9.140625" style="37"/>
    <col min="15873" max="15873" width="7.140625" style="37" customWidth="1"/>
    <col min="15874" max="16128" width="9.140625" style="37"/>
    <col min="16129" max="16129" width="7.140625" style="37" customWidth="1"/>
    <col min="16130" max="16384" width="9.140625" style="37"/>
  </cols>
  <sheetData>
    <row r="1" spans="1:18" ht="18">
      <c r="A1" s="64" t="s">
        <v>362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8">
      <c r="A2" s="45" t="s">
        <v>363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8" ht="14.25">
      <c r="A3" s="41" t="s">
        <v>364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8" s="41" customFormat="1">
      <c r="A4" s="41" t="s">
        <v>365</v>
      </c>
    </row>
    <row r="5" spans="1:18" s="41" customFormat="1">
      <c r="A5" s="41" t="s">
        <v>366</v>
      </c>
    </row>
    <row r="6" spans="1:18" s="41" customFormat="1">
      <c r="A6" s="41" t="s">
        <v>367</v>
      </c>
    </row>
    <row r="7" spans="1:18">
      <c r="A7" s="41" t="s">
        <v>368</v>
      </c>
      <c r="B7" s="37" t="s">
        <v>369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>
      <c r="A8" s="41" t="s">
        <v>370</v>
      </c>
      <c r="B8" s="37">
        <v>100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18">
      <c r="A9" s="41" t="s">
        <v>371</v>
      </c>
      <c r="B9" s="37">
        <v>1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8">
      <c r="A10" s="41" t="s">
        <v>372</v>
      </c>
      <c r="B10" s="37">
        <v>5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18">
      <c r="A11" s="41" t="s">
        <v>373</v>
      </c>
      <c r="B11" s="37" t="s">
        <v>374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18">
      <c r="A12" s="41" t="s">
        <v>375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1:18">
      <c r="A13" s="41" t="s">
        <v>376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8">
      <c r="A14" s="41" t="s">
        <v>377</v>
      </c>
      <c r="B14" s="65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</row>
    <row r="15" spans="1:18">
      <c r="A15" s="41" t="s">
        <v>378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8">
      <c r="A16" s="66" t="s">
        <v>379</v>
      </c>
      <c r="B16" s="67" t="str">
        <f>B7&amp;" = "&amp;B8&amp;"*"&amp;B11&amp;"^"&amp;B9&amp;" + "&amp;B8&amp;"*"&amp;B11&amp;"^"&amp;B9+1&amp;" + . . ."&amp;" + "&amp;B8&amp;"*"&amp;B11&amp;"^"&amp;B10-1&amp;" + "&amp;B8&amp;"*"&amp;B11&amp;"^"&amp;B10</f>
        <v>PV = 100*(1+k)^1 + 100*(1+k)^2 + . . . + 100*(1+k)^4 + 100*(1+k)^5</v>
      </c>
      <c r="C16" s="67"/>
      <c r="D16" s="67"/>
      <c r="E16" s="67"/>
      <c r="F16" s="67"/>
      <c r="G16" s="67"/>
      <c r="H16" s="67"/>
      <c r="I16" s="67"/>
      <c r="J16" s="67"/>
      <c r="K16" s="66" t="s">
        <v>379</v>
      </c>
      <c r="L16" s="67"/>
      <c r="M16" s="41"/>
      <c r="N16" s="41"/>
      <c r="O16" s="41"/>
      <c r="P16" s="41"/>
    </row>
    <row r="17" spans="1:16">
      <c r="A17" s="66" t="s">
        <v>380</v>
      </c>
      <c r="B17" s="67" t="str">
        <f>B7&amp;" * "&amp;B11&amp;" = "&amp;B8&amp;"*"&amp;B11&amp;"^"&amp;B9+1&amp;" + "&amp;B8&amp;"*"&amp;B11&amp;"^"&amp;B9+2&amp;" + . . ."&amp;" + "&amp;B8&amp;"*"&amp;B11&amp;"^"&amp;B10&amp;" + "&amp;B8&amp;"*"&amp;B11&amp;"^"&amp;B10+1</f>
        <v>PV * (1+k) = 100*(1+k)^2 + 100*(1+k)^3 + . . . + 100*(1+k)^5 + 100*(1+k)^6</v>
      </c>
      <c r="C17" s="67"/>
      <c r="D17" s="67"/>
      <c r="E17" s="67"/>
      <c r="F17" s="67"/>
      <c r="G17" s="67"/>
      <c r="H17" s="67"/>
      <c r="I17" s="67"/>
      <c r="J17" s="67"/>
      <c r="K17" s="68" t="str">
        <f>"(2)=(1)*"&amp;B11</f>
        <v>(2)=(1)*(1+k)</v>
      </c>
      <c r="L17" s="67"/>
      <c r="M17" s="41"/>
      <c r="N17" s="41"/>
      <c r="O17" s="41"/>
      <c r="P17" s="41"/>
    </row>
    <row r="18" spans="1:16">
      <c r="A18" s="66" t="s">
        <v>381</v>
      </c>
      <c r="B18" s="67" t="str">
        <f>B7&amp;" - "&amp;B7&amp;"*"&amp;B11&amp;" = "&amp;B8&amp;"*"&amp;B11&amp;"^"&amp;B9&amp;" - "&amp;B8&amp;"*"&amp;B11&amp;"^"&amp;B10</f>
        <v>PV - PV*(1+k) = 100*(1+k)^1 - 100*(1+k)^5</v>
      </c>
      <c r="C18" s="67"/>
      <c r="D18" s="67"/>
      <c r="E18" s="67"/>
      <c r="F18" s="67"/>
      <c r="G18" s="67"/>
      <c r="H18" s="67"/>
      <c r="I18" s="67"/>
      <c r="J18" s="67"/>
      <c r="K18" s="68" t="str">
        <f>"(3)=(1)-(2)"</f>
        <v>(3)=(1)-(2)</v>
      </c>
      <c r="L18" s="67"/>
      <c r="M18" s="41"/>
      <c r="N18" s="41"/>
      <c r="O18" s="41"/>
      <c r="P18" s="41"/>
    </row>
    <row r="19" spans="1:16">
      <c r="A19" s="66" t="s">
        <v>382</v>
      </c>
      <c r="B19" s="67" t="str">
        <f>B7&amp;" * ["&amp;1&amp;" - "&amp;B11&amp;"]"&amp;" = "&amp;B8&amp;" * ["&amp;B11&amp;"^"&amp;B9&amp;" - "&amp;"*"&amp;B11&amp;"^"&amp;B10&amp;"]"</f>
        <v>PV * [1 - (1+k)] = 100 * [(1+k)^1 - *(1+k)^5]</v>
      </c>
      <c r="C19" s="67"/>
      <c r="D19" s="67"/>
      <c r="E19" s="67"/>
      <c r="F19" s="67"/>
      <c r="G19" s="67"/>
      <c r="H19" s="67"/>
      <c r="I19" s="67"/>
      <c r="J19" s="67"/>
      <c r="K19" s="66" t="s">
        <v>382</v>
      </c>
      <c r="L19" s="67"/>
      <c r="M19" s="41"/>
      <c r="N19" s="41"/>
      <c r="O19" s="41"/>
      <c r="P19" s="41"/>
    </row>
    <row r="20" spans="1:16">
      <c r="A20" s="66" t="s">
        <v>383</v>
      </c>
      <c r="B20" s="67" t="str">
        <f>B7&amp;" = "&amp;B8&amp;" * ["&amp;B11&amp;"^"&amp;B9&amp;" - "&amp;"*"&amp;B11&amp;"^"&amp;B10&amp;"]"&amp;" / ["&amp;1&amp;" - "&amp;B11&amp;"]"</f>
        <v>PV = 100 * [(1+k)^1 - *(1+k)^5] / [1 - (1+k)]</v>
      </c>
      <c r="C20" s="67"/>
      <c r="D20" s="67"/>
      <c r="E20" s="67"/>
      <c r="F20" s="67"/>
      <c r="G20" s="67"/>
      <c r="H20" s="67"/>
      <c r="I20" s="67"/>
      <c r="J20" s="67"/>
      <c r="K20" s="66" t="s">
        <v>383</v>
      </c>
      <c r="L20" s="67"/>
      <c r="M20" s="41"/>
      <c r="N20" s="41"/>
      <c r="O20" s="41"/>
      <c r="P20" s="41"/>
    </row>
    <row r="21" spans="1:16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16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6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</sheetData>
  <pageMargins left="0.75" right="0.75" top="1" bottom="1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A2" sqref="A2"/>
    </sheetView>
  </sheetViews>
  <sheetFormatPr defaultRowHeight="15"/>
  <cols>
    <col min="1" max="1" width="10" style="27" customWidth="1"/>
    <col min="2" max="2" width="14.140625" style="27" customWidth="1"/>
    <col min="3" max="4" width="12.28515625" style="27" customWidth="1"/>
    <col min="5" max="5" width="13.140625" style="27" customWidth="1"/>
    <col min="6" max="6" width="10.5703125" style="27" customWidth="1"/>
    <col min="7" max="7" width="9.140625" style="27"/>
    <col min="8" max="8" width="10.140625" style="27" bestFit="1" customWidth="1"/>
    <col min="9" max="16384" width="9.140625" style="27"/>
  </cols>
  <sheetData>
    <row r="1" spans="1:16" ht="18.75">
      <c r="A1" s="26" t="s">
        <v>187</v>
      </c>
      <c r="B1" s="26"/>
      <c r="C1" s="26"/>
    </row>
    <row r="2" spans="1:16">
      <c r="A2" s="28"/>
      <c r="B2" s="28" t="s">
        <v>188</v>
      </c>
      <c r="C2" s="28" t="s">
        <v>188</v>
      </c>
      <c r="D2" s="28" t="s">
        <v>189</v>
      </c>
      <c r="E2" s="28"/>
      <c r="F2" s="28" t="s">
        <v>190</v>
      </c>
      <c r="G2" s="28" t="s">
        <v>191</v>
      </c>
      <c r="H2" s="28"/>
      <c r="L2" s="28" t="s">
        <v>192</v>
      </c>
    </row>
    <row r="3" spans="1:16" ht="18">
      <c r="A3" s="29" t="s">
        <v>53</v>
      </c>
      <c r="B3" s="29" t="s">
        <v>193</v>
      </c>
      <c r="C3" s="29" t="s">
        <v>194</v>
      </c>
      <c r="D3" s="29" t="s">
        <v>195</v>
      </c>
      <c r="E3" s="29" t="s">
        <v>196</v>
      </c>
      <c r="F3" s="29" t="s">
        <v>197</v>
      </c>
      <c r="G3" s="29" t="s">
        <v>198</v>
      </c>
      <c r="H3" s="29" t="s">
        <v>199</v>
      </c>
      <c r="L3" s="28" t="s">
        <v>200</v>
      </c>
      <c r="O3" s="29" t="s">
        <v>202</v>
      </c>
    </row>
    <row r="4" spans="1:16">
      <c r="A4" s="30">
        <v>41276</v>
      </c>
      <c r="B4" s="31">
        <v>10000000</v>
      </c>
      <c r="C4" s="31">
        <v>0</v>
      </c>
      <c r="D4" s="31">
        <v>0</v>
      </c>
      <c r="E4" s="31">
        <f>B4-C4</f>
        <v>10000000</v>
      </c>
      <c r="F4" s="31">
        <v>1000000</v>
      </c>
      <c r="G4" s="32">
        <f>(E4)/F4</f>
        <v>10</v>
      </c>
      <c r="H4" s="32" t="s">
        <v>67</v>
      </c>
      <c r="L4" s="27" t="s">
        <v>67</v>
      </c>
    </row>
    <row r="5" spans="1:16">
      <c r="A5" s="30">
        <f>A4+1</f>
        <v>41277</v>
      </c>
      <c r="B5" s="31">
        <v>0</v>
      </c>
      <c r="C5" s="31">
        <v>0</v>
      </c>
      <c r="D5" s="31">
        <v>0</v>
      </c>
      <c r="E5" s="31">
        <f>E4+B5-C5-D5+L5</f>
        <v>10200000</v>
      </c>
      <c r="F5" s="31">
        <f>F4+(B5-C5)/G5</f>
        <v>1000000</v>
      </c>
      <c r="G5" s="32">
        <f>(E4+L5-D5)/F4</f>
        <v>10.199999999999999</v>
      </c>
      <c r="H5" s="33">
        <f>(G5-G4+(D5/F5))/G4</f>
        <v>1.9999999999999928E-2</v>
      </c>
      <c r="L5" s="27">
        <v>200000</v>
      </c>
      <c r="O5" s="33">
        <f>1+H5</f>
        <v>1.02</v>
      </c>
    </row>
    <row r="6" spans="1:16">
      <c r="A6" s="30">
        <f t="shared" ref="A6:A11" si="0">A5+1</f>
        <v>41278</v>
      </c>
      <c r="B6" s="31">
        <v>0</v>
      </c>
      <c r="C6" s="31">
        <v>0</v>
      </c>
      <c r="D6" s="31">
        <v>0</v>
      </c>
      <c r="E6" s="31">
        <f t="shared" ref="E6:E11" si="1">E5+B6-C6-D6+L6</f>
        <v>9800000</v>
      </c>
      <c r="F6" s="31">
        <f t="shared" ref="F6:F11" si="2">F5+(B6-C6)/G6</f>
        <v>1000000</v>
      </c>
      <c r="G6" s="32">
        <f t="shared" ref="G6:G11" si="3">(E5+L6-D6)/F5</f>
        <v>9.8000000000000007</v>
      </c>
      <c r="H6" s="33">
        <f t="shared" ref="H6:H11" si="4">(G6-G5+(D6/F6))/G5</f>
        <v>-3.9215686274509665E-2</v>
      </c>
      <c r="I6" s="27">
        <f>H6/3</f>
        <v>-1.3071895424836555E-2</v>
      </c>
      <c r="J6" s="27" t="s">
        <v>201</v>
      </c>
      <c r="L6" s="27">
        <v>-400000</v>
      </c>
      <c r="O6" s="33">
        <f t="shared" ref="O6:O11" si="5">1+H6</f>
        <v>0.96078431372549034</v>
      </c>
    </row>
    <row r="7" spans="1:16">
      <c r="A7" s="30">
        <f>A6+3</f>
        <v>41281</v>
      </c>
      <c r="B7" s="31">
        <v>0</v>
      </c>
      <c r="C7" s="31">
        <v>0</v>
      </c>
      <c r="D7" s="31">
        <v>0</v>
      </c>
      <c r="E7" s="31">
        <f t="shared" si="1"/>
        <v>10000000</v>
      </c>
      <c r="F7" s="31">
        <f t="shared" si="2"/>
        <v>1000000</v>
      </c>
      <c r="G7" s="32">
        <f t="shared" si="3"/>
        <v>10</v>
      </c>
      <c r="H7" s="33">
        <f t="shared" si="4"/>
        <v>2.0408163265306048E-2</v>
      </c>
      <c r="L7" s="27">
        <v>200000</v>
      </c>
      <c r="O7" s="33">
        <f t="shared" si="5"/>
        <v>1.0204081632653061</v>
      </c>
    </row>
    <row r="8" spans="1:16">
      <c r="A8" s="30">
        <f t="shared" si="0"/>
        <v>41282</v>
      </c>
      <c r="B8" s="31">
        <v>0</v>
      </c>
      <c r="C8" s="31">
        <v>0</v>
      </c>
      <c r="D8" s="31">
        <v>200000</v>
      </c>
      <c r="E8" s="31">
        <f t="shared" si="1"/>
        <v>10000000</v>
      </c>
      <c r="F8" s="31">
        <f t="shared" si="2"/>
        <v>1000000</v>
      </c>
      <c r="G8" s="32">
        <f t="shared" si="3"/>
        <v>10</v>
      </c>
      <c r="H8" s="33">
        <f t="shared" si="4"/>
        <v>0.02</v>
      </c>
      <c r="L8" s="27">
        <v>200000</v>
      </c>
      <c r="O8" s="33">
        <f t="shared" si="5"/>
        <v>1.02</v>
      </c>
    </row>
    <row r="9" spans="1:16">
      <c r="A9" s="30">
        <f t="shared" si="0"/>
        <v>41283</v>
      </c>
      <c r="B9" s="31">
        <v>0</v>
      </c>
      <c r="C9" s="31">
        <v>200000</v>
      </c>
      <c r="D9" s="31">
        <v>0</v>
      </c>
      <c r="E9" s="31">
        <f t="shared" si="1"/>
        <v>10000000</v>
      </c>
      <c r="F9" s="31">
        <f t="shared" si="2"/>
        <v>980392.15686274506</v>
      </c>
      <c r="G9" s="32">
        <f t="shared" si="3"/>
        <v>10.199999999999999</v>
      </c>
      <c r="H9" s="33">
        <f t="shared" si="4"/>
        <v>1.9999999999999928E-2</v>
      </c>
      <c r="L9" s="27">
        <v>200000</v>
      </c>
      <c r="O9" s="33">
        <f t="shared" si="5"/>
        <v>1.02</v>
      </c>
    </row>
    <row r="10" spans="1:16">
      <c r="A10" s="30">
        <f t="shared" si="0"/>
        <v>41284</v>
      </c>
      <c r="B10" s="31">
        <v>200000</v>
      </c>
      <c r="C10" s="31">
        <v>0</v>
      </c>
      <c r="D10" s="31">
        <v>0</v>
      </c>
      <c r="E10" s="31">
        <f t="shared" si="1"/>
        <v>10500000</v>
      </c>
      <c r="F10" s="31">
        <f t="shared" si="2"/>
        <v>999428.89777270122</v>
      </c>
      <c r="G10" s="32">
        <f t="shared" si="3"/>
        <v>10.506</v>
      </c>
      <c r="H10" s="33">
        <f t="shared" si="4"/>
        <v>3.0000000000000093E-2</v>
      </c>
      <c r="L10" s="27">
        <v>300000</v>
      </c>
      <c r="O10" s="33">
        <f t="shared" si="5"/>
        <v>1.03</v>
      </c>
    </row>
    <row r="11" spans="1:16">
      <c r="A11" s="30">
        <f t="shared" si="0"/>
        <v>41285</v>
      </c>
      <c r="B11" s="31">
        <v>300000</v>
      </c>
      <c r="C11" s="31">
        <v>200000</v>
      </c>
      <c r="D11" s="31">
        <v>0</v>
      </c>
      <c r="E11" s="31">
        <f t="shared" si="1"/>
        <v>10400000</v>
      </c>
      <c r="F11" s="31">
        <f t="shared" si="2"/>
        <v>1009132.0909549604</v>
      </c>
      <c r="G11" s="32">
        <f t="shared" si="3"/>
        <v>10.305885714285715</v>
      </c>
      <c r="H11" s="33">
        <f t="shared" si="4"/>
        <v>-1.9047619047619004E-2</v>
      </c>
      <c r="L11" s="27">
        <v>-200000</v>
      </c>
      <c r="O11" s="33">
        <f t="shared" si="5"/>
        <v>0.98095238095238102</v>
      </c>
    </row>
    <row r="12" spans="1:16" ht="18">
      <c r="O12" s="27">
        <f>PRODUCT(O5:O11)</f>
        <v>1.0512003428571433</v>
      </c>
      <c r="P12" s="28" t="s">
        <v>203</v>
      </c>
    </row>
    <row r="13" spans="1:16" ht="18">
      <c r="O13" s="27">
        <f>O12^(1/9)</f>
        <v>1.0055634962943851</v>
      </c>
      <c r="P13" s="28" t="s">
        <v>204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58"/>
  <sheetViews>
    <sheetView workbookViewId="0"/>
  </sheetViews>
  <sheetFormatPr defaultRowHeight="12.75"/>
  <sheetData>
    <row r="1" spans="1:15" ht="18">
      <c r="A1" s="3" t="s">
        <v>105</v>
      </c>
    </row>
    <row r="2" spans="1:15">
      <c r="A2" s="9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9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9" t="s">
        <v>51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.75">
      <c r="A5" s="10" t="s">
        <v>52</v>
      </c>
    </row>
    <row r="6" spans="1:15">
      <c r="A6" t="s">
        <v>53</v>
      </c>
      <c r="B6" t="s">
        <v>54</v>
      </c>
      <c r="C6" t="s">
        <v>55</v>
      </c>
      <c r="D6" t="s">
        <v>56</v>
      </c>
      <c r="E6" t="s">
        <v>57</v>
      </c>
      <c r="F6" t="s">
        <v>58</v>
      </c>
      <c r="G6" t="s">
        <v>59</v>
      </c>
      <c r="H6" t="s">
        <v>60</v>
      </c>
    </row>
    <row r="7" spans="1:15">
      <c r="A7" s="11">
        <v>37502</v>
      </c>
      <c r="B7">
        <v>47.5</v>
      </c>
      <c r="C7">
        <v>47.51</v>
      </c>
      <c r="D7">
        <v>38.11</v>
      </c>
      <c r="E7">
        <v>38.9</v>
      </c>
      <c r="F7">
        <v>5414895</v>
      </c>
      <c r="G7">
        <f t="shared" ref="G7:G29" si="0">(E7-E8)/E8</f>
        <v>-0.18721270371918097</v>
      </c>
      <c r="H7">
        <f t="shared" ref="H7:H30" si="1">G7+1</f>
        <v>0.81278729628081903</v>
      </c>
      <c r="I7" t="s">
        <v>61</v>
      </c>
      <c r="J7" s="1">
        <f t="array" ref="J7">PRODUCT(H7:H29)</f>
        <v>0.66758194611292254</v>
      </c>
      <c r="K7" t="s">
        <v>62</v>
      </c>
    </row>
    <row r="8" spans="1:15">
      <c r="A8" s="11">
        <v>37469</v>
      </c>
      <c r="B8">
        <v>46.4</v>
      </c>
      <c r="C8">
        <v>50.05</v>
      </c>
      <c r="D8">
        <v>41.08</v>
      </c>
      <c r="E8">
        <v>47.86</v>
      </c>
      <c r="F8">
        <v>4259440</v>
      </c>
      <c r="G8">
        <f t="shared" si="0"/>
        <v>2.8141783029001124E-2</v>
      </c>
      <c r="H8">
        <f t="shared" si="1"/>
        <v>1.0281417830290012</v>
      </c>
      <c r="I8" t="s">
        <v>63</v>
      </c>
      <c r="J8" s="1">
        <f>J7^(1/24)-1</f>
        <v>-1.6696260086148329E-2</v>
      </c>
      <c r="K8" t="s">
        <v>64</v>
      </c>
    </row>
    <row r="9" spans="1:15">
      <c r="A9" s="11">
        <v>37438</v>
      </c>
      <c r="B9">
        <v>53.3</v>
      </c>
      <c r="C9">
        <v>54.08</v>
      </c>
      <c r="D9">
        <v>40.5</v>
      </c>
      <c r="E9">
        <v>46.55</v>
      </c>
      <c r="F9">
        <v>6527578</v>
      </c>
      <c r="G9">
        <f t="shared" si="0"/>
        <v>-0.12909260991580926</v>
      </c>
      <c r="H9">
        <f t="shared" si="1"/>
        <v>0.87090739008419071</v>
      </c>
      <c r="I9" t="s">
        <v>65</v>
      </c>
      <c r="J9" s="1">
        <f>(1+J8)^12-1</f>
        <v>-0.18294311941400165</v>
      </c>
      <c r="K9" t="s">
        <v>66</v>
      </c>
    </row>
    <row r="10" spans="1:15">
      <c r="A10" s="11">
        <v>37410</v>
      </c>
      <c r="B10">
        <v>62.5</v>
      </c>
      <c r="C10">
        <v>63.1</v>
      </c>
      <c r="D10">
        <v>50</v>
      </c>
      <c r="E10">
        <v>53.45</v>
      </c>
      <c r="F10">
        <v>5193919</v>
      </c>
      <c r="G10">
        <f t="shared" si="0"/>
        <v>-0.13998390989541426</v>
      </c>
      <c r="H10">
        <f t="shared" si="1"/>
        <v>0.86001609010458568</v>
      </c>
      <c r="I10" t="s">
        <v>63</v>
      </c>
      <c r="J10" s="1">
        <f>(E7/E30)^(1/24)-1</f>
        <v>-1.6696260086148329E-2</v>
      </c>
      <c r="K10" t="s">
        <v>64</v>
      </c>
    </row>
    <row r="11" spans="1:15">
      <c r="A11" s="11">
        <v>37377</v>
      </c>
      <c r="B11">
        <v>64</v>
      </c>
      <c r="C11">
        <v>67.8</v>
      </c>
      <c r="D11">
        <v>62.15</v>
      </c>
      <c r="E11">
        <v>62.15</v>
      </c>
      <c r="F11">
        <v>3616043</v>
      </c>
      <c r="G11">
        <f t="shared" si="0"/>
        <v>-2.4026381909547756E-2</v>
      </c>
      <c r="H11">
        <f t="shared" si="1"/>
        <v>0.97597361809045224</v>
      </c>
      <c r="I11" t="s">
        <v>65</v>
      </c>
      <c r="J11" s="1">
        <f>(1+J10)^12-1</f>
        <v>-0.18294311941400165</v>
      </c>
      <c r="K11" t="s">
        <v>66</v>
      </c>
    </row>
    <row r="12" spans="1:15">
      <c r="A12" s="11">
        <v>37347</v>
      </c>
      <c r="B12">
        <v>59.56</v>
      </c>
      <c r="C12">
        <v>65.94</v>
      </c>
      <c r="D12">
        <v>58.32</v>
      </c>
      <c r="E12">
        <v>63.68</v>
      </c>
      <c r="F12">
        <v>3917782</v>
      </c>
      <c r="G12">
        <f t="shared" si="0"/>
        <v>6.1156473921013192E-2</v>
      </c>
      <c r="H12">
        <f t="shared" si="1"/>
        <v>1.0611564739210131</v>
      </c>
    </row>
    <row r="13" spans="1:15">
      <c r="A13" s="11">
        <v>37316</v>
      </c>
      <c r="B13">
        <v>52.81</v>
      </c>
      <c r="C13">
        <v>61.55</v>
      </c>
      <c r="D13">
        <v>52.81</v>
      </c>
      <c r="E13">
        <v>60.01</v>
      </c>
      <c r="F13">
        <v>5743195</v>
      </c>
      <c r="G13">
        <f t="shared" si="0"/>
        <v>0.14109146225518149</v>
      </c>
      <c r="H13">
        <f t="shared" si="1"/>
        <v>1.1410914622551815</v>
      </c>
    </row>
    <row r="14" spans="1:15">
      <c r="A14" s="11">
        <v>37288</v>
      </c>
      <c r="B14">
        <v>50.35</v>
      </c>
      <c r="C14">
        <v>55.39</v>
      </c>
      <c r="D14">
        <v>47.24</v>
      </c>
      <c r="E14">
        <v>52.59</v>
      </c>
      <c r="F14">
        <v>5055470</v>
      </c>
      <c r="G14">
        <f t="shared" si="0"/>
        <v>4.6567164179104545E-2</v>
      </c>
      <c r="H14">
        <f t="shared" si="1"/>
        <v>1.0465671641791046</v>
      </c>
    </row>
    <row r="15" spans="1:15">
      <c r="A15" s="11">
        <v>37258</v>
      </c>
      <c r="B15">
        <v>47.9</v>
      </c>
      <c r="C15">
        <v>50.27</v>
      </c>
      <c r="D15">
        <v>47.09</v>
      </c>
      <c r="E15">
        <v>50.25</v>
      </c>
      <c r="F15">
        <v>3096881</v>
      </c>
      <c r="G15">
        <f t="shared" si="0"/>
        <v>5.2135678391959844E-2</v>
      </c>
      <c r="H15">
        <f t="shared" si="1"/>
        <v>1.0521356783919598</v>
      </c>
    </row>
    <row r="16" spans="1:15">
      <c r="A16" s="11">
        <v>37228</v>
      </c>
      <c r="B16">
        <v>47.66</v>
      </c>
      <c r="C16">
        <v>52.3</v>
      </c>
      <c r="D16">
        <v>46.01</v>
      </c>
      <c r="E16">
        <v>47.76</v>
      </c>
      <c r="F16">
        <v>2938333</v>
      </c>
      <c r="G16">
        <f t="shared" si="0"/>
        <v>-2.2113022113022223E-2</v>
      </c>
      <c r="H16">
        <f t="shared" si="1"/>
        <v>0.97788697788697776</v>
      </c>
    </row>
    <row r="17" spans="1:8">
      <c r="A17" s="11">
        <v>37196</v>
      </c>
      <c r="B17">
        <v>40.130000000000003</v>
      </c>
      <c r="C17">
        <v>49.3</v>
      </c>
      <c r="D17">
        <v>39.520000000000003</v>
      </c>
      <c r="E17">
        <v>48.84</v>
      </c>
      <c r="F17">
        <v>2470372</v>
      </c>
      <c r="G17">
        <f t="shared" si="0"/>
        <v>0.21704460503364068</v>
      </c>
      <c r="H17">
        <f t="shared" si="1"/>
        <v>1.2170446050336408</v>
      </c>
    </row>
    <row r="18" spans="1:8">
      <c r="A18" s="11">
        <v>37165</v>
      </c>
      <c r="B18">
        <v>41.28</v>
      </c>
      <c r="C18">
        <v>44.51</v>
      </c>
      <c r="D18">
        <v>39.35</v>
      </c>
      <c r="E18">
        <v>40.130000000000003</v>
      </c>
      <c r="F18">
        <v>2847620</v>
      </c>
      <c r="G18">
        <f t="shared" si="0"/>
        <v>-3.6725876140182287E-2</v>
      </c>
      <c r="H18">
        <f t="shared" si="1"/>
        <v>0.9632741238598177</v>
      </c>
    </row>
    <row r="19" spans="1:8">
      <c r="A19" s="11">
        <v>37138</v>
      </c>
      <c r="B19">
        <v>52.47</v>
      </c>
      <c r="C19">
        <v>54.32</v>
      </c>
      <c r="D19">
        <v>38.04</v>
      </c>
      <c r="E19">
        <v>41.66</v>
      </c>
      <c r="F19">
        <v>3648700</v>
      </c>
      <c r="G19">
        <f t="shared" si="0"/>
        <v>-0.21647545608425814</v>
      </c>
      <c r="H19">
        <f t="shared" si="1"/>
        <v>0.78352454391574189</v>
      </c>
    </row>
    <row r="20" spans="1:8">
      <c r="A20" s="11">
        <v>37104</v>
      </c>
      <c r="B20">
        <v>61.62</v>
      </c>
      <c r="C20">
        <v>62.63</v>
      </c>
      <c r="D20">
        <v>51.96</v>
      </c>
      <c r="E20">
        <v>53.17</v>
      </c>
      <c r="F20">
        <v>2548600</v>
      </c>
      <c r="G20">
        <f t="shared" si="0"/>
        <v>-0.13234334203655351</v>
      </c>
      <c r="H20">
        <f t="shared" si="1"/>
        <v>0.86765665796344649</v>
      </c>
    </row>
    <row r="21" spans="1:8">
      <c r="A21" s="11">
        <v>37074</v>
      </c>
      <c r="B21">
        <v>61.67</v>
      </c>
      <c r="C21">
        <v>65.33</v>
      </c>
      <c r="D21">
        <v>59.14</v>
      </c>
      <c r="E21">
        <v>61.28</v>
      </c>
      <c r="F21">
        <v>2346600</v>
      </c>
      <c r="G21">
        <f t="shared" si="0"/>
        <v>-1.1612903225806433E-2</v>
      </c>
      <c r="H21">
        <f t="shared" si="1"/>
        <v>0.98838709677419356</v>
      </c>
    </row>
    <row r="22" spans="1:8">
      <c r="A22" s="11">
        <v>37043</v>
      </c>
      <c r="B22">
        <v>54.83</v>
      </c>
      <c r="C22">
        <v>62.52</v>
      </c>
      <c r="D22">
        <v>54.63</v>
      </c>
      <c r="E22">
        <v>62</v>
      </c>
      <c r="F22">
        <v>2721754</v>
      </c>
      <c r="G22">
        <f t="shared" si="0"/>
        <v>0.13076782783147914</v>
      </c>
      <c r="H22">
        <f t="shared" si="1"/>
        <v>1.1307678278314792</v>
      </c>
    </row>
    <row r="23" spans="1:8">
      <c r="A23" s="11">
        <v>37012</v>
      </c>
      <c r="B23">
        <v>52.48</v>
      </c>
      <c r="C23">
        <v>56.17</v>
      </c>
      <c r="D23">
        <v>51.66</v>
      </c>
      <c r="E23">
        <v>54.83</v>
      </c>
      <c r="F23">
        <v>2021760</v>
      </c>
      <c r="G23">
        <f t="shared" si="0"/>
        <v>4.7573557508597528E-2</v>
      </c>
      <c r="H23">
        <f t="shared" si="1"/>
        <v>1.0475735575085976</v>
      </c>
    </row>
    <row r="24" spans="1:8">
      <c r="A24" s="11">
        <v>36983</v>
      </c>
      <c r="B24">
        <v>49.58</v>
      </c>
      <c r="C24">
        <v>55.25</v>
      </c>
      <c r="D24">
        <v>47.94</v>
      </c>
      <c r="E24">
        <v>52.34</v>
      </c>
      <c r="F24">
        <v>2472395</v>
      </c>
      <c r="G24">
        <f t="shared" si="0"/>
        <v>5.7160169662694514E-2</v>
      </c>
      <c r="H24">
        <f t="shared" si="1"/>
        <v>1.0571601696626944</v>
      </c>
    </row>
    <row r="25" spans="1:8">
      <c r="A25" s="11">
        <v>36951</v>
      </c>
      <c r="B25">
        <v>50.93</v>
      </c>
      <c r="C25">
        <v>57.01</v>
      </c>
      <c r="D25">
        <v>47.99</v>
      </c>
      <c r="E25">
        <v>49.51</v>
      </c>
      <c r="F25">
        <v>3011243</v>
      </c>
      <c r="G25">
        <f t="shared" si="0"/>
        <v>-2.7690494893951367E-2</v>
      </c>
      <c r="H25">
        <f t="shared" si="1"/>
        <v>0.97230950510604863</v>
      </c>
    </row>
    <row r="26" spans="1:8">
      <c r="A26" s="11">
        <v>36923</v>
      </c>
      <c r="B26">
        <v>50.91</v>
      </c>
      <c r="C26">
        <v>55.13</v>
      </c>
      <c r="D26">
        <v>48.51</v>
      </c>
      <c r="E26">
        <v>50.92</v>
      </c>
      <c r="F26">
        <v>2980480</v>
      </c>
      <c r="G26">
        <f t="shared" si="0"/>
        <v>1.9677292404565411E-3</v>
      </c>
      <c r="H26">
        <f t="shared" si="1"/>
        <v>1.0019677292404565</v>
      </c>
    </row>
    <row r="27" spans="1:8">
      <c r="A27" s="11">
        <v>36893</v>
      </c>
      <c r="B27">
        <v>48.21</v>
      </c>
      <c r="C27">
        <v>54.06</v>
      </c>
      <c r="D27">
        <v>48.09</v>
      </c>
      <c r="E27">
        <v>50.82</v>
      </c>
      <c r="F27">
        <v>3771677</v>
      </c>
      <c r="G27">
        <f t="shared" si="0"/>
        <v>5.4138145612943361E-2</v>
      </c>
      <c r="H27">
        <f t="shared" si="1"/>
        <v>1.0541381456129433</v>
      </c>
    </row>
    <row r="28" spans="1:8">
      <c r="A28" s="11">
        <v>36861</v>
      </c>
      <c r="B28">
        <v>46.85</v>
      </c>
      <c r="C28">
        <v>51.7</v>
      </c>
      <c r="D28">
        <v>46.08</v>
      </c>
      <c r="E28">
        <v>48.21</v>
      </c>
      <c r="F28">
        <v>2857576</v>
      </c>
      <c r="G28">
        <f t="shared" si="0"/>
        <v>2.9028815368196358E-2</v>
      </c>
      <c r="H28">
        <f t="shared" si="1"/>
        <v>1.0290288153681963</v>
      </c>
    </row>
    <row r="29" spans="1:8">
      <c r="A29" s="11">
        <v>36831</v>
      </c>
      <c r="B29">
        <v>58.27</v>
      </c>
      <c r="C29">
        <v>59.8</v>
      </c>
      <c r="D29">
        <v>45.84</v>
      </c>
      <c r="E29">
        <v>46.85</v>
      </c>
      <c r="F29">
        <v>2963281</v>
      </c>
      <c r="G29">
        <f t="shared" si="0"/>
        <v>-0.19598421142955211</v>
      </c>
      <c r="H29">
        <f t="shared" si="1"/>
        <v>0.80401578857044786</v>
      </c>
    </row>
    <row r="30" spans="1:8">
      <c r="A30" s="11">
        <v>36801</v>
      </c>
      <c r="B30">
        <v>61.32</v>
      </c>
      <c r="C30">
        <v>64.02</v>
      </c>
      <c r="D30">
        <v>51.12</v>
      </c>
      <c r="E30">
        <v>58.27</v>
      </c>
      <c r="F30">
        <v>2658817</v>
      </c>
      <c r="G30" t="s">
        <v>67</v>
      </c>
      <c r="H30" t="e">
        <f t="shared" si="1"/>
        <v>#VALUE!</v>
      </c>
    </row>
    <row r="33" spans="1:11" ht="15.75">
      <c r="A33" s="10" t="s">
        <v>68</v>
      </c>
    </row>
    <row r="34" spans="1:11">
      <c r="A34" t="s">
        <v>53</v>
      </c>
      <c r="B34" t="s">
        <v>54</v>
      </c>
      <c r="C34" t="s">
        <v>55</v>
      </c>
      <c r="D34" t="s">
        <v>56</v>
      </c>
      <c r="E34" t="s">
        <v>57</v>
      </c>
      <c r="F34" t="s">
        <v>58</v>
      </c>
      <c r="G34" t="s">
        <v>59</v>
      </c>
      <c r="H34" t="s">
        <v>60</v>
      </c>
    </row>
    <row r="35" spans="1:11">
      <c r="A35" s="11">
        <v>37502</v>
      </c>
      <c r="B35">
        <v>3.82</v>
      </c>
      <c r="C35">
        <v>3.93</v>
      </c>
      <c r="D35">
        <v>1.75</v>
      </c>
      <c r="E35">
        <v>1.96</v>
      </c>
      <c r="F35">
        <v>11035885</v>
      </c>
      <c r="G35">
        <f t="shared" ref="G35:G57" si="2">(E35-E36)/E36</f>
        <v>-0.50505050505050508</v>
      </c>
      <c r="H35">
        <f t="shared" ref="H35:H58" si="3">G35+1</f>
        <v>0.49494949494949492</v>
      </c>
      <c r="I35" t="s">
        <v>61</v>
      </c>
      <c r="J35" s="1">
        <f t="array" ref="J35">PRODUCT(H35:H57)</f>
        <v>5.1416579223504719E-2</v>
      </c>
      <c r="K35" t="s">
        <v>62</v>
      </c>
    </row>
    <row r="36" spans="1:11">
      <c r="A36" s="11">
        <v>37469</v>
      </c>
      <c r="B36">
        <v>3.8</v>
      </c>
      <c r="C36">
        <v>5.14</v>
      </c>
      <c r="D36">
        <v>3.15</v>
      </c>
      <c r="E36">
        <v>3.96</v>
      </c>
      <c r="F36">
        <v>7020356</v>
      </c>
      <c r="G36">
        <f t="shared" si="2"/>
        <v>-3.414634146341456E-2</v>
      </c>
      <c r="H36">
        <f t="shared" si="3"/>
        <v>0.96585365853658545</v>
      </c>
      <c r="I36" t="s">
        <v>63</v>
      </c>
      <c r="J36" s="1">
        <f>J35^(1/24)-1</f>
        <v>-0.11631808748028472</v>
      </c>
      <c r="K36" t="s">
        <v>64</v>
      </c>
    </row>
    <row r="37" spans="1:11">
      <c r="A37" s="11">
        <v>37438</v>
      </c>
      <c r="B37">
        <v>4.5199999999999996</v>
      </c>
      <c r="C37">
        <v>6.93</v>
      </c>
      <c r="D37">
        <v>2.36</v>
      </c>
      <c r="E37">
        <v>4.0999999999999996</v>
      </c>
      <c r="F37">
        <v>11209278</v>
      </c>
      <c r="G37">
        <f t="shared" si="2"/>
        <v>-8.2774049217002266E-2</v>
      </c>
      <c r="H37">
        <f t="shared" si="3"/>
        <v>0.91722595078299773</v>
      </c>
      <c r="I37" t="s">
        <v>65</v>
      </c>
      <c r="J37" s="1">
        <f>(1+J36)^12-1</f>
        <v>-0.77324775806289214</v>
      </c>
      <c r="K37" t="s">
        <v>66</v>
      </c>
    </row>
    <row r="38" spans="1:11">
      <c r="A38" s="11">
        <v>37410</v>
      </c>
      <c r="B38">
        <v>10.130000000000001</v>
      </c>
      <c r="C38">
        <v>10.44</v>
      </c>
      <c r="D38">
        <v>3.5</v>
      </c>
      <c r="E38">
        <v>4.47</v>
      </c>
      <c r="F38">
        <v>15463276</v>
      </c>
      <c r="G38">
        <f t="shared" si="2"/>
        <v>-0.57183908045977017</v>
      </c>
      <c r="H38">
        <f t="shared" si="3"/>
        <v>0.42816091954022983</v>
      </c>
      <c r="I38" t="s">
        <v>63</v>
      </c>
      <c r="J38" s="1">
        <f>(E35/E58)^(1/24)-1</f>
        <v>-0.11631808748028472</v>
      </c>
      <c r="K38" t="s">
        <v>64</v>
      </c>
    </row>
    <row r="39" spans="1:11">
      <c r="A39" s="11">
        <v>37377</v>
      </c>
      <c r="B39">
        <v>11.25</v>
      </c>
      <c r="C39">
        <v>12</v>
      </c>
      <c r="D39">
        <v>9.34</v>
      </c>
      <c r="E39">
        <v>10.44</v>
      </c>
      <c r="F39">
        <v>7701569</v>
      </c>
      <c r="G39">
        <f t="shared" si="2"/>
        <v>-6.8688670829616535E-2</v>
      </c>
      <c r="H39">
        <f t="shared" si="3"/>
        <v>0.93131132917038351</v>
      </c>
      <c r="I39" t="s">
        <v>65</v>
      </c>
      <c r="J39" s="1">
        <f>(1+J38)^12-1</f>
        <v>-0.77324775806289214</v>
      </c>
      <c r="K39" t="s">
        <v>66</v>
      </c>
    </row>
    <row r="40" spans="1:11">
      <c r="A40" s="11">
        <v>37347</v>
      </c>
      <c r="B40">
        <v>10.25</v>
      </c>
      <c r="C40">
        <v>13.45</v>
      </c>
      <c r="D40">
        <v>9</v>
      </c>
      <c r="E40">
        <v>11.21</v>
      </c>
      <c r="F40">
        <v>10386886</v>
      </c>
      <c r="G40">
        <f t="shared" si="2"/>
        <v>8.9407191448007947E-2</v>
      </c>
      <c r="H40">
        <f t="shared" si="3"/>
        <v>1.0894071914480079</v>
      </c>
    </row>
    <row r="41" spans="1:11">
      <c r="A41" s="11">
        <v>37316</v>
      </c>
      <c r="B41">
        <v>10</v>
      </c>
      <c r="C41">
        <v>12.2</v>
      </c>
      <c r="D41">
        <v>8.1199999999999992</v>
      </c>
      <c r="E41">
        <v>10.29</v>
      </c>
      <c r="F41">
        <v>12611519</v>
      </c>
      <c r="G41">
        <f t="shared" si="2"/>
        <v>0.11243243243243234</v>
      </c>
      <c r="H41">
        <f t="shared" si="3"/>
        <v>1.1124324324324324</v>
      </c>
    </row>
    <row r="42" spans="1:11">
      <c r="A42" s="11">
        <v>37288</v>
      </c>
      <c r="B42">
        <v>16.09</v>
      </c>
      <c r="C42">
        <v>16.7</v>
      </c>
      <c r="D42">
        <v>7.22</v>
      </c>
      <c r="E42">
        <v>9.25</v>
      </c>
      <c r="F42">
        <v>21943820</v>
      </c>
      <c r="G42">
        <f t="shared" si="2"/>
        <v>-0.43528693528693524</v>
      </c>
      <c r="H42">
        <f t="shared" si="3"/>
        <v>0.56471306471306471</v>
      </c>
    </row>
    <row r="43" spans="1:11">
      <c r="A43" s="11">
        <v>37258</v>
      </c>
      <c r="B43">
        <v>24.45</v>
      </c>
      <c r="C43">
        <v>25.2</v>
      </c>
      <c r="D43">
        <v>15.01</v>
      </c>
      <c r="E43">
        <v>16.38</v>
      </c>
      <c r="F43">
        <v>15091195</v>
      </c>
      <c r="G43">
        <f t="shared" si="2"/>
        <v>-0.32896353953297836</v>
      </c>
      <c r="H43">
        <f t="shared" si="3"/>
        <v>0.67103646046702159</v>
      </c>
    </row>
    <row r="44" spans="1:11">
      <c r="A44" s="11">
        <v>37228</v>
      </c>
      <c r="B44">
        <v>25</v>
      </c>
      <c r="C44">
        <v>26.37</v>
      </c>
      <c r="D44">
        <v>22.3</v>
      </c>
      <c r="E44">
        <v>24.41</v>
      </c>
      <c r="F44">
        <v>6145352</v>
      </c>
      <c r="G44">
        <f t="shared" si="2"/>
        <v>-2.1643286573146257E-2</v>
      </c>
      <c r="H44">
        <f t="shared" si="3"/>
        <v>0.97835671342685371</v>
      </c>
    </row>
    <row r="45" spans="1:11">
      <c r="A45" s="11">
        <v>37196</v>
      </c>
      <c r="B45">
        <v>22.5</v>
      </c>
      <c r="C45">
        <v>27.5</v>
      </c>
      <c r="D45">
        <v>22.25</v>
      </c>
      <c r="E45">
        <v>24.95</v>
      </c>
      <c r="F45">
        <v>5252709</v>
      </c>
      <c r="G45">
        <f t="shared" si="2"/>
        <v>0.11883408071748872</v>
      </c>
      <c r="H45">
        <f t="shared" si="3"/>
        <v>1.1188340807174888</v>
      </c>
    </row>
    <row r="46" spans="1:11">
      <c r="A46" s="11">
        <v>37165</v>
      </c>
      <c r="B46">
        <v>26.4</v>
      </c>
      <c r="C46">
        <v>29.05</v>
      </c>
      <c r="D46">
        <v>21.5</v>
      </c>
      <c r="E46">
        <v>22.3</v>
      </c>
      <c r="F46">
        <v>10553704</v>
      </c>
      <c r="G46">
        <f t="shared" si="2"/>
        <v>-0.15176873335869145</v>
      </c>
      <c r="H46">
        <f t="shared" si="3"/>
        <v>0.84823126664130855</v>
      </c>
    </row>
    <row r="47" spans="1:11">
      <c r="A47" s="11">
        <v>37138</v>
      </c>
      <c r="B47">
        <v>25.05</v>
      </c>
      <c r="C47">
        <v>27.1</v>
      </c>
      <c r="D47">
        <v>22.25</v>
      </c>
      <c r="E47">
        <v>26.29</v>
      </c>
      <c r="F47">
        <v>10464787</v>
      </c>
      <c r="G47">
        <f t="shared" si="2"/>
        <v>5.2441953562850231E-2</v>
      </c>
      <c r="H47">
        <f t="shared" si="3"/>
        <v>1.0524419535628502</v>
      </c>
    </row>
    <row r="48" spans="1:11">
      <c r="A48" s="11">
        <v>37104</v>
      </c>
      <c r="B48">
        <v>25.98</v>
      </c>
      <c r="C48">
        <v>26.5</v>
      </c>
      <c r="D48">
        <v>22.43</v>
      </c>
      <c r="E48">
        <v>24.98</v>
      </c>
      <c r="F48">
        <v>11239554</v>
      </c>
      <c r="G48">
        <f t="shared" si="2"/>
        <v>-3.6265432098765482E-2</v>
      </c>
      <c r="H48">
        <f t="shared" si="3"/>
        <v>0.96373456790123457</v>
      </c>
    </row>
    <row r="49" spans="1:8">
      <c r="A49" s="11">
        <v>37074</v>
      </c>
      <c r="B49">
        <v>24.15</v>
      </c>
      <c r="C49">
        <v>27</v>
      </c>
      <c r="D49">
        <v>22.7</v>
      </c>
      <c r="E49">
        <v>25.92</v>
      </c>
      <c r="F49">
        <v>6663486</v>
      </c>
      <c r="G49">
        <f t="shared" si="2"/>
        <v>7.3291925465838639E-2</v>
      </c>
      <c r="H49">
        <f t="shared" si="3"/>
        <v>1.0732919254658386</v>
      </c>
    </row>
    <row r="50" spans="1:8">
      <c r="A50" s="11">
        <v>37043</v>
      </c>
      <c r="B50">
        <v>22.03</v>
      </c>
      <c r="C50">
        <v>24.16</v>
      </c>
      <c r="D50">
        <v>19.21</v>
      </c>
      <c r="E50">
        <v>24.15</v>
      </c>
      <c r="F50">
        <v>4679895</v>
      </c>
      <c r="G50">
        <f t="shared" si="2"/>
        <v>9.7727272727272663E-2</v>
      </c>
      <c r="H50">
        <f t="shared" si="3"/>
        <v>1.0977272727272727</v>
      </c>
    </row>
    <row r="51" spans="1:8">
      <c r="A51" s="11">
        <v>37012</v>
      </c>
      <c r="B51">
        <v>25.63</v>
      </c>
      <c r="C51">
        <v>27.5</v>
      </c>
      <c r="D51">
        <v>20.25</v>
      </c>
      <c r="E51">
        <v>22</v>
      </c>
      <c r="F51">
        <v>5211639</v>
      </c>
      <c r="G51">
        <f t="shared" si="2"/>
        <v>-0.14163090128755362</v>
      </c>
      <c r="H51">
        <f t="shared" si="3"/>
        <v>0.85836909871244638</v>
      </c>
    </row>
    <row r="52" spans="1:8">
      <c r="A52" s="11">
        <v>36983</v>
      </c>
      <c r="B52">
        <v>19.25</v>
      </c>
      <c r="C52">
        <v>26.9</v>
      </c>
      <c r="D52">
        <v>16.43</v>
      </c>
      <c r="E52">
        <v>25.63</v>
      </c>
      <c r="F52">
        <v>7444519</v>
      </c>
      <c r="G52">
        <f t="shared" si="2"/>
        <v>0.34894736842105256</v>
      </c>
      <c r="H52">
        <f t="shared" si="3"/>
        <v>1.3489473684210527</v>
      </c>
    </row>
    <row r="53" spans="1:8">
      <c r="A53" s="11">
        <v>36951</v>
      </c>
      <c r="B53">
        <v>24</v>
      </c>
      <c r="C53">
        <v>24.35</v>
      </c>
      <c r="D53">
        <v>15.72</v>
      </c>
      <c r="E53">
        <v>19</v>
      </c>
      <c r="F53">
        <v>6083813</v>
      </c>
      <c r="G53">
        <f t="shared" si="2"/>
        <v>-0.2454328832406672</v>
      </c>
      <c r="H53">
        <f t="shared" si="3"/>
        <v>0.75456711675933286</v>
      </c>
    </row>
    <row r="54" spans="1:8">
      <c r="A54" s="11">
        <v>36923</v>
      </c>
      <c r="B54">
        <v>30.75</v>
      </c>
      <c r="C54">
        <v>32.4</v>
      </c>
      <c r="D54">
        <v>20</v>
      </c>
      <c r="E54">
        <v>25.18</v>
      </c>
      <c r="F54">
        <v>5503705</v>
      </c>
      <c r="G54">
        <f t="shared" si="2"/>
        <v>-0.17442622950819672</v>
      </c>
      <c r="H54">
        <f t="shared" si="3"/>
        <v>0.82557377049180325</v>
      </c>
    </row>
    <row r="55" spans="1:8">
      <c r="A55" s="11">
        <v>36893</v>
      </c>
      <c r="B55">
        <v>20.75</v>
      </c>
      <c r="C55">
        <v>33.25</v>
      </c>
      <c r="D55">
        <v>17.62</v>
      </c>
      <c r="E55">
        <v>30.5</v>
      </c>
      <c r="F55">
        <v>8484931</v>
      </c>
      <c r="G55">
        <f t="shared" si="2"/>
        <v>0.49217221135029343</v>
      </c>
      <c r="H55">
        <f t="shared" si="3"/>
        <v>1.4921722113502933</v>
      </c>
    </row>
    <row r="56" spans="1:8">
      <c r="A56" s="11">
        <v>36861</v>
      </c>
      <c r="B56">
        <v>23.12</v>
      </c>
      <c r="C56">
        <v>29.38</v>
      </c>
      <c r="D56">
        <v>19.38</v>
      </c>
      <c r="E56">
        <v>20.440000000000001</v>
      </c>
      <c r="F56">
        <v>5440242</v>
      </c>
      <c r="G56">
        <f t="shared" si="2"/>
        <v>-9.9162626707800794E-2</v>
      </c>
      <c r="H56">
        <f t="shared" si="3"/>
        <v>0.90083737329219926</v>
      </c>
    </row>
    <row r="57" spans="1:8">
      <c r="A57" s="11">
        <v>36831</v>
      </c>
      <c r="B57">
        <v>38.25</v>
      </c>
      <c r="C57">
        <v>38.44</v>
      </c>
      <c r="D57">
        <v>21.88</v>
      </c>
      <c r="E57">
        <v>22.69</v>
      </c>
      <c r="F57">
        <v>7432204</v>
      </c>
      <c r="G57">
        <f t="shared" si="2"/>
        <v>-0.40477439664218251</v>
      </c>
      <c r="H57">
        <f t="shared" si="3"/>
        <v>0.59522560335781749</v>
      </c>
    </row>
    <row r="58" spans="1:8">
      <c r="A58" s="11">
        <v>36801</v>
      </c>
      <c r="B58">
        <v>37</v>
      </c>
      <c r="C58">
        <v>39.19</v>
      </c>
      <c r="D58">
        <v>29</v>
      </c>
      <c r="E58">
        <v>38.119999999999997</v>
      </c>
      <c r="F58">
        <v>5709582</v>
      </c>
      <c r="G58" t="s">
        <v>67</v>
      </c>
      <c r="H58" t="e">
        <f t="shared" si="3"/>
        <v>#VALUE!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3"/>
  <sheetViews>
    <sheetView workbookViewId="0">
      <selection activeCell="A4" sqref="A4"/>
    </sheetView>
  </sheetViews>
  <sheetFormatPr defaultRowHeight="12.75"/>
  <cols>
    <col min="1" max="1" width="9.85546875" style="37" customWidth="1"/>
    <col min="2" max="256" width="9.140625" style="37"/>
    <col min="257" max="257" width="9.85546875" style="37" customWidth="1"/>
    <col min="258" max="512" width="9.140625" style="37"/>
    <col min="513" max="513" width="9.85546875" style="37" customWidth="1"/>
    <col min="514" max="768" width="9.140625" style="37"/>
    <col min="769" max="769" width="9.85546875" style="37" customWidth="1"/>
    <col min="770" max="1024" width="9.140625" style="37"/>
    <col min="1025" max="1025" width="9.85546875" style="37" customWidth="1"/>
    <col min="1026" max="1280" width="9.140625" style="37"/>
    <col min="1281" max="1281" width="9.85546875" style="37" customWidth="1"/>
    <col min="1282" max="1536" width="9.140625" style="37"/>
    <col min="1537" max="1537" width="9.85546875" style="37" customWidth="1"/>
    <col min="1538" max="1792" width="9.140625" style="37"/>
    <col min="1793" max="1793" width="9.85546875" style="37" customWidth="1"/>
    <col min="1794" max="2048" width="9.140625" style="37"/>
    <col min="2049" max="2049" width="9.85546875" style="37" customWidth="1"/>
    <col min="2050" max="2304" width="9.140625" style="37"/>
    <col min="2305" max="2305" width="9.85546875" style="37" customWidth="1"/>
    <col min="2306" max="2560" width="9.140625" style="37"/>
    <col min="2561" max="2561" width="9.85546875" style="37" customWidth="1"/>
    <col min="2562" max="2816" width="9.140625" style="37"/>
    <col min="2817" max="2817" width="9.85546875" style="37" customWidth="1"/>
    <col min="2818" max="3072" width="9.140625" style="37"/>
    <col min="3073" max="3073" width="9.85546875" style="37" customWidth="1"/>
    <col min="3074" max="3328" width="9.140625" style="37"/>
    <col min="3329" max="3329" width="9.85546875" style="37" customWidth="1"/>
    <col min="3330" max="3584" width="9.140625" style="37"/>
    <col min="3585" max="3585" width="9.85546875" style="37" customWidth="1"/>
    <col min="3586" max="3840" width="9.140625" style="37"/>
    <col min="3841" max="3841" width="9.85546875" style="37" customWidth="1"/>
    <col min="3842" max="4096" width="9.140625" style="37"/>
    <col min="4097" max="4097" width="9.85546875" style="37" customWidth="1"/>
    <col min="4098" max="4352" width="9.140625" style="37"/>
    <col min="4353" max="4353" width="9.85546875" style="37" customWidth="1"/>
    <col min="4354" max="4608" width="9.140625" style="37"/>
    <col min="4609" max="4609" width="9.85546875" style="37" customWidth="1"/>
    <col min="4610" max="4864" width="9.140625" style="37"/>
    <col min="4865" max="4865" width="9.85546875" style="37" customWidth="1"/>
    <col min="4866" max="5120" width="9.140625" style="37"/>
    <col min="5121" max="5121" width="9.85546875" style="37" customWidth="1"/>
    <col min="5122" max="5376" width="9.140625" style="37"/>
    <col min="5377" max="5377" width="9.85546875" style="37" customWidth="1"/>
    <col min="5378" max="5632" width="9.140625" style="37"/>
    <col min="5633" max="5633" width="9.85546875" style="37" customWidth="1"/>
    <col min="5634" max="5888" width="9.140625" style="37"/>
    <col min="5889" max="5889" width="9.85546875" style="37" customWidth="1"/>
    <col min="5890" max="6144" width="9.140625" style="37"/>
    <col min="6145" max="6145" width="9.85546875" style="37" customWidth="1"/>
    <col min="6146" max="6400" width="9.140625" style="37"/>
    <col min="6401" max="6401" width="9.85546875" style="37" customWidth="1"/>
    <col min="6402" max="6656" width="9.140625" style="37"/>
    <col min="6657" max="6657" width="9.85546875" style="37" customWidth="1"/>
    <col min="6658" max="6912" width="9.140625" style="37"/>
    <col min="6913" max="6913" width="9.85546875" style="37" customWidth="1"/>
    <col min="6914" max="7168" width="9.140625" style="37"/>
    <col min="7169" max="7169" width="9.85546875" style="37" customWidth="1"/>
    <col min="7170" max="7424" width="9.140625" style="37"/>
    <col min="7425" max="7425" width="9.85546875" style="37" customWidth="1"/>
    <col min="7426" max="7680" width="9.140625" style="37"/>
    <col min="7681" max="7681" width="9.85546875" style="37" customWidth="1"/>
    <col min="7682" max="7936" width="9.140625" style="37"/>
    <col min="7937" max="7937" width="9.85546875" style="37" customWidth="1"/>
    <col min="7938" max="8192" width="9.140625" style="37"/>
    <col min="8193" max="8193" width="9.85546875" style="37" customWidth="1"/>
    <col min="8194" max="8448" width="9.140625" style="37"/>
    <col min="8449" max="8449" width="9.85546875" style="37" customWidth="1"/>
    <col min="8450" max="8704" width="9.140625" style="37"/>
    <col min="8705" max="8705" width="9.85546875" style="37" customWidth="1"/>
    <col min="8706" max="8960" width="9.140625" style="37"/>
    <col min="8961" max="8961" width="9.85546875" style="37" customWidth="1"/>
    <col min="8962" max="9216" width="9.140625" style="37"/>
    <col min="9217" max="9217" width="9.85546875" style="37" customWidth="1"/>
    <col min="9218" max="9472" width="9.140625" style="37"/>
    <col min="9473" max="9473" width="9.85546875" style="37" customWidth="1"/>
    <col min="9474" max="9728" width="9.140625" style="37"/>
    <col min="9729" max="9729" width="9.85546875" style="37" customWidth="1"/>
    <col min="9730" max="9984" width="9.140625" style="37"/>
    <col min="9985" max="9985" width="9.85546875" style="37" customWidth="1"/>
    <col min="9986" max="10240" width="9.140625" style="37"/>
    <col min="10241" max="10241" width="9.85546875" style="37" customWidth="1"/>
    <col min="10242" max="10496" width="9.140625" style="37"/>
    <col min="10497" max="10497" width="9.85546875" style="37" customWidth="1"/>
    <col min="10498" max="10752" width="9.140625" style="37"/>
    <col min="10753" max="10753" width="9.85546875" style="37" customWidth="1"/>
    <col min="10754" max="11008" width="9.140625" style="37"/>
    <col min="11009" max="11009" width="9.85546875" style="37" customWidth="1"/>
    <col min="11010" max="11264" width="9.140625" style="37"/>
    <col min="11265" max="11265" width="9.85546875" style="37" customWidth="1"/>
    <col min="11266" max="11520" width="9.140625" style="37"/>
    <col min="11521" max="11521" width="9.85546875" style="37" customWidth="1"/>
    <col min="11522" max="11776" width="9.140625" style="37"/>
    <col min="11777" max="11777" width="9.85546875" style="37" customWidth="1"/>
    <col min="11778" max="12032" width="9.140625" style="37"/>
    <col min="12033" max="12033" width="9.85546875" style="37" customWidth="1"/>
    <col min="12034" max="12288" width="9.140625" style="37"/>
    <col min="12289" max="12289" width="9.85546875" style="37" customWidth="1"/>
    <col min="12290" max="12544" width="9.140625" style="37"/>
    <col min="12545" max="12545" width="9.85546875" style="37" customWidth="1"/>
    <col min="12546" max="12800" width="9.140625" style="37"/>
    <col min="12801" max="12801" width="9.85546875" style="37" customWidth="1"/>
    <col min="12802" max="13056" width="9.140625" style="37"/>
    <col min="13057" max="13057" width="9.85546875" style="37" customWidth="1"/>
    <col min="13058" max="13312" width="9.140625" style="37"/>
    <col min="13313" max="13313" width="9.85546875" style="37" customWidth="1"/>
    <col min="13314" max="13568" width="9.140625" style="37"/>
    <col min="13569" max="13569" width="9.85546875" style="37" customWidth="1"/>
    <col min="13570" max="13824" width="9.140625" style="37"/>
    <col min="13825" max="13825" width="9.85546875" style="37" customWidth="1"/>
    <col min="13826" max="14080" width="9.140625" style="37"/>
    <col min="14081" max="14081" width="9.85546875" style="37" customWidth="1"/>
    <col min="14082" max="14336" width="9.140625" style="37"/>
    <col min="14337" max="14337" width="9.85546875" style="37" customWidth="1"/>
    <col min="14338" max="14592" width="9.140625" style="37"/>
    <col min="14593" max="14593" width="9.85546875" style="37" customWidth="1"/>
    <col min="14594" max="14848" width="9.140625" style="37"/>
    <col min="14849" max="14849" width="9.85546875" style="37" customWidth="1"/>
    <col min="14850" max="15104" width="9.140625" style="37"/>
    <col min="15105" max="15105" width="9.85546875" style="37" customWidth="1"/>
    <col min="15106" max="15360" width="9.140625" style="37"/>
    <col min="15361" max="15361" width="9.85546875" style="37" customWidth="1"/>
    <col min="15362" max="15616" width="9.140625" style="37"/>
    <col min="15617" max="15617" width="9.85546875" style="37" customWidth="1"/>
    <col min="15618" max="15872" width="9.140625" style="37"/>
    <col min="15873" max="15873" width="9.85546875" style="37" customWidth="1"/>
    <col min="15874" max="16128" width="9.140625" style="37"/>
    <col min="16129" max="16129" width="9.85546875" style="37" customWidth="1"/>
    <col min="16130" max="16384" width="9.140625" style="37"/>
  </cols>
  <sheetData>
    <row r="1" spans="1:16" ht="18">
      <c r="A1" s="42" t="s">
        <v>384</v>
      </c>
    </row>
    <row r="2" spans="1:16">
      <c r="A2" s="37" t="s">
        <v>385</v>
      </c>
    </row>
    <row r="3" spans="1:16">
      <c r="A3" s="37" t="s">
        <v>386</v>
      </c>
    </row>
    <row r="5" spans="1:16">
      <c r="A5" s="69" t="s">
        <v>387</v>
      </c>
      <c r="B5" s="37">
        <v>500</v>
      </c>
      <c r="D5" s="69" t="s">
        <v>388</v>
      </c>
      <c r="E5" s="69">
        <v>0</v>
      </c>
      <c r="F5" s="69">
        <v>1</v>
      </c>
      <c r="G5" s="69">
        <v>2</v>
      </c>
      <c r="H5" s="69">
        <v>3</v>
      </c>
    </row>
    <row r="6" spans="1:16">
      <c r="A6" s="69" t="s">
        <v>324</v>
      </c>
      <c r="B6" s="37">
        <v>100</v>
      </c>
      <c r="D6" s="69" t="s">
        <v>389</v>
      </c>
      <c r="E6" s="69">
        <f>-B5</f>
        <v>-500</v>
      </c>
      <c r="F6" s="69">
        <f>B6</f>
        <v>100</v>
      </c>
      <c r="G6" s="69">
        <f>B7</f>
        <v>200</v>
      </c>
      <c r="H6" s="69">
        <f>B8</f>
        <v>300</v>
      </c>
    </row>
    <row r="7" spans="1:16">
      <c r="A7" s="69" t="s">
        <v>390</v>
      </c>
      <c r="B7" s="37">
        <v>200</v>
      </c>
      <c r="C7" s="69" t="s">
        <v>391</v>
      </c>
      <c r="D7" s="69" t="s">
        <v>392</v>
      </c>
      <c r="E7" s="70">
        <f>E6/(1+$B10)^E5</f>
        <v>-500</v>
      </c>
      <c r="F7" s="70">
        <f>F6/(1+$B10)^F5</f>
        <v>92.421441774491669</v>
      </c>
      <c r="G7" s="70">
        <f>G6/(1+$B10)^G5</f>
        <v>170.83445799351512</v>
      </c>
      <c r="H7" s="70">
        <f>H6/(1+$B10)^H5</f>
        <v>236.8315036878675</v>
      </c>
      <c r="I7" s="71" t="s">
        <v>393</v>
      </c>
      <c r="J7" s="70">
        <f>SUM(E7:H7)</f>
        <v>8.7403455874266456E-2</v>
      </c>
    </row>
    <row r="8" spans="1:16">
      <c r="A8" s="69" t="s">
        <v>394</v>
      </c>
      <c r="B8" s="37">
        <v>300</v>
      </c>
    </row>
    <row r="10" spans="1:16">
      <c r="A10" s="69" t="s">
        <v>395</v>
      </c>
      <c r="B10" s="37">
        <v>8.2000000000000003E-2</v>
      </c>
    </row>
    <row r="12" spans="1:16" ht="15.75">
      <c r="A12" s="72" t="s">
        <v>396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1:16">
      <c r="A13" s="70" t="s">
        <v>397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1:16">
      <c r="A14" s="70" t="s">
        <v>398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1:16">
      <c r="A15" s="70" t="s">
        <v>399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spans="1:16">
      <c r="A16" s="69" t="s">
        <v>387</v>
      </c>
      <c r="B16" s="37">
        <v>1120</v>
      </c>
    </row>
    <row r="17" spans="1:16">
      <c r="A17" s="69" t="s">
        <v>400</v>
      </c>
      <c r="B17" s="37">
        <v>0.1</v>
      </c>
      <c r="E17" s="74" t="s">
        <v>388</v>
      </c>
      <c r="F17" s="74">
        <v>0</v>
      </c>
      <c r="G17" s="74">
        <v>1</v>
      </c>
      <c r="H17" s="74">
        <v>2</v>
      </c>
      <c r="I17" s="74">
        <v>3</v>
      </c>
      <c r="J17" s="74">
        <v>4</v>
      </c>
      <c r="K17" s="74">
        <v>5</v>
      </c>
    </row>
    <row r="18" spans="1:16">
      <c r="A18" s="69" t="s">
        <v>401</v>
      </c>
      <c r="B18" s="37">
        <v>1000</v>
      </c>
      <c r="E18" s="69" t="s">
        <v>389</v>
      </c>
      <c r="F18" s="69">
        <f>-B16</f>
        <v>-1120</v>
      </c>
      <c r="G18" s="69">
        <f>$B17*$B18</f>
        <v>100</v>
      </c>
      <c r="H18" s="69">
        <f>$B17*$B18</f>
        <v>100</v>
      </c>
      <c r="I18" s="69">
        <f>$B17*$B18</f>
        <v>100</v>
      </c>
      <c r="J18" s="69">
        <f>$B17*$B18</f>
        <v>100</v>
      </c>
      <c r="K18" s="69">
        <f>$B17*$B18+B18</f>
        <v>1100</v>
      </c>
    </row>
    <row r="19" spans="1:16">
      <c r="A19" s="69" t="s">
        <v>402</v>
      </c>
      <c r="B19" s="70">
        <v>5</v>
      </c>
      <c r="C19" s="69" t="s">
        <v>403</v>
      </c>
      <c r="D19" s="70">
        <f>-B16+((B17*B18)/B21)*(1-1/(1+B21)^B19)+(1000/(1+B21)^B19)</f>
        <v>0.35239332558751357</v>
      </c>
      <c r="E19" s="75" t="s">
        <v>404</v>
      </c>
      <c r="F19" s="70">
        <f t="shared" ref="F19:K19" si="0">F18/(1+$B21)^F17</f>
        <v>-1120</v>
      </c>
      <c r="G19" s="70">
        <f t="shared" si="0"/>
        <v>93.405566971791515</v>
      </c>
      <c r="H19" s="70">
        <f t="shared" si="0"/>
        <v>87.245999413218314</v>
      </c>
      <c r="I19" s="70">
        <f t="shared" si="0"/>
        <v>81.492620412122463</v>
      </c>
      <c r="J19" s="70">
        <f t="shared" si="0"/>
        <v>76.118644136112906</v>
      </c>
      <c r="K19" s="70">
        <f t="shared" si="0"/>
        <v>782.0895623923426</v>
      </c>
      <c r="L19" s="75" t="s">
        <v>393</v>
      </c>
      <c r="M19" s="70">
        <f>SUM(F19:K19)</f>
        <v>0.35239332558796832</v>
      </c>
    </row>
    <row r="21" spans="1:16">
      <c r="A21" s="69" t="s">
        <v>395</v>
      </c>
      <c r="B21" s="37">
        <v>7.0599999999999996E-2</v>
      </c>
    </row>
    <row r="22" spans="1:16">
      <c r="A22" s="69"/>
    </row>
    <row r="23" spans="1:16" ht="15.75">
      <c r="A23" s="72" t="s">
        <v>405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pans="1:16">
      <c r="A24" s="70" t="s">
        <v>406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</row>
    <row r="25" spans="1:16">
      <c r="A25" s="70" t="s">
        <v>407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</row>
    <row r="26" spans="1:16">
      <c r="A26" s="70" t="s">
        <v>408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</row>
    <row r="27" spans="1:16">
      <c r="A27" s="69" t="s">
        <v>387</v>
      </c>
      <c r="B27" s="37">
        <v>1250</v>
      </c>
    </row>
    <row r="28" spans="1:16">
      <c r="A28" s="69" t="s">
        <v>400</v>
      </c>
      <c r="B28" s="37">
        <v>0.1</v>
      </c>
    </row>
    <row r="29" spans="1:16">
      <c r="A29" s="69" t="s">
        <v>401</v>
      </c>
      <c r="B29" s="37">
        <v>1000</v>
      </c>
    </row>
    <row r="30" spans="1:16">
      <c r="A30" s="69" t="s">
        <v>402</v>
      </c>
      <c r="B30" s="37">
        <v>20</v>
      </c>
    </row>
    <row r="32" spans="1:16">
      <c r="A32" s="69" t="s">
        <v>403</v>
      </c>
      <c r="B32" s="70">
        <f>-B27+(100/B33)*(1-1/(1+B33)^B30)+B29/(1+B33)^B30</f>
        <v>2.3417338913276353E-2</v>
      </c>
    </row>
    <row r="33" spans="1:2">
      <c r="A33" s="69" t="s">
        <v>409</v>
      </c>
      <c r="B33" s="37">
        <v>7.5399999999999995E-2</v>
      </c>
    </row>
  </sheetData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B6" sqref="B6"/>
    </sheetView>
  </sheetViews>
  <sheetFormatPr defaultRowHeight="12.75"/>
  <cols>
    <col min="1" max="1" width="14.7109375" customWidth="1"/>
    <col min="2" max="2" width="8.85546875" customWidth="1"/>
    <col min="3" max="3" width="4.85546875" customWidth="1"/>
  </cols>
  <sheetData>
    <row r="1" spans="1:12" ht="18">
      <c r="A1" s="3" t="s">
        <v>98</v>
      </c>
    </row>
    <row r="2" spans="1:12">
      <c r="A2" s="9" t="s">
        <v>101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1" t="s">
        <v>3</v>
      </c>
      <c r="C3" s="1"/>
      <c r="D3" s="1"/>
    </row>
    <row r="4" spans="1:12">
      <c r="A4" s="2" t="s">
        <v>0</v>
      </c>
      <c r="B4" s="2">
        <v>1000</v>
      </c>
    </row>
    <row r="5" spans="1:12">
      <c r="A5" s="2" t="s">
        <v>1</v>
      </c>
      <c r="B5" s="2">
        <v>0.06</v>
      </c>
    </row>
    <row r="6" spans="1:12">
      <c r="A6" s="14" t="s">
        <v>99</v>
      </c>
      <c r="B6" s="14">
        <v>0.127</v>
      </c>
    </row>
    <row r="7" spans="1:12">
      <c r="A7" s="2" t="s">
        <v>2</v>
      </c>
      <c r="B7" s="2">
        <v>4</v>
      </c>
    </row>
    <row r="8" spans="1:12">
      <c r="A8" s="2" t="s">
        <v>100</v>
      </c>
      <c r="B8" s="2">
        <v>800</v>
      </c>
    </row>
    <row r="10" spans="1:12">
      <c r="A10" s="1" t="s">
        <v>40</v>
      </c>
      <c r="B10" s="7">
        <f>(B5*B4)/B6*((1-1/(1+B6)^B7))+B4/(1+B6)^B7</f>
        <v>799.46177570260386</v>
      </c>
    </row>
    <row r="11" spans="1:12">
      <c r="A11" s="7" t="str">
        <f>IF(B10&gt;B8,"INCREASE YOUR y ESTIMATE",IF(B10=B8,"YOUR y ESTIMATE IS CORRECT","DECREASE YOUR y ESTIMATE"))</f>
        <v>DECREASE YOUR y ESTIMATE</v>
      </c>
      <c r="B11" s="1"/>
    </row>
    <row r="15" spans="1:12">
      <c r="A15" t="s">
        <v>102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A2" sqref="A2"/>
    </sheetView>
  </sheetViews>
  <sheetFormatPr defaultRowHeight="12.75"/>
  <cols>
    <col min="1" max="1" width="2.42578125" customWidth="1"/>
    <col min="2" max="2" width="8" customWidth="1"/>
    <col min="3" max="3" width="6.7109375" customWidth="1"/>
    <col min="4" max="4" width="7" bestFit="1" customWidth="1"/>
    <col min="5" max="5" width="11.28515625" customWidth="1"/>
    <col min="6" max="6" width="13.28515625" bestFit="1" customWidth="1"/>
    <col min="7" max="7" width="17" bestFit="1" customWidth="1"/>
  </cols>
  <sheetData>
    <row r="1" spans="1:8" ht="18">
      <c r="A1" s="3" t="s">
        <v>106</v>
      </c>
    </row>
    <row r="2" spans="1:8" ht="18">
      <c r="A2" s="5"/>
      <c r="B2" s="5"/>
      <c r="C2" s="5"/>
      <c r="D2" s="5"/>
      <c r="E2" s="15" t="s">
        <v>107</v>
      </c>
      <c r="F2" s="5"/>
      <c r="G2" s="5"/>
      <c r="H2" s="5"/>
    </row>
    <row r="3" spans="1:8">
      <c r="A3" s="16" t="s">
        <v>108</v>
      </c>
      <c r="B3" s="17" t="s">
        <v>109</v>
      </c>
      <c r="C3" s="17" t="s">
        <v>110</v>
      </c>
      <c r="D3" s="17" t="s">
        <v>111</v>
      </c>
      <c r="E3" s="17" t="s">
        <v>112</v>
      </c>
      <c r="F3" s="17" t="s">
        <v>113</v>
      </c>
      <c r="G3" s="17" t="s">
        <v>114</v>
      </c>
    </row>
    <row r="4" spans="1:8">
      <c r="A4">
        <v>1</v>
      </c>
      <c r="B4">
        <v>-0.2</v>
      </c>
      <c r="C4">
        <v>0.2</v>
      </c>
      <c r="D4">
        <f>B4*C4</f>
        <v>-4.0000000000000008E-2</v>
      </c>
      <c r="E4">
        <f>B4-D$7</f>
        <v>-0.33</v>
      </c>
      <c r="F4">
        <f>E4^2</f>
        <v>0.10890000000000001</v>
      </c>
      <c r="G4">
        <f>F4*C4</f>
        <v>2.1780000000000004E-2</v>
      </c>
    </row>
    <row r="5" spans="1:8">
      <c r="A5">
        <v>2</v>
      </c>
      <c r="B5">
        <v>0.1</v>
      </c>
      <c r="C5">
        <v>0.5</v>
      </c>
      <c r="D5">
        <f>B5*C5</f>
        <v>0.05</v>
      </c>
      <c r="E5">
        <f>B5-D$7</f>
        <v>-0.03</v>
      </c>
      <c r="F5">
        <f>E5^2</f>
        <v>8.9999999999999998E-4</v>
      </c>
      <c r="G5">
        <f>F5*C5</f>
        <v>4.4999999999999999E-4</v>
      </c>
    </row>
    <row r="6" spans="1:8">
      <c r="A6">
        <v>3</v>
      </c>
      <c r="B6">
        <v>0.4</v>
      </c>
      <c r="C6">
        <v>0.3</v>
      </c>
      <c r="D6" s="18">
        <f>B6*C6</f>
        <v>0.12</v>
      </c>
      <c r="E6">
        <f>B6-D$7</f>
        <v>0.27</v>
      </c>
      <c r="F6">
        <f>E6^2</f>
        <v>7.2900000000000006E-2</v>
      </c>
      <c r="G6">
        <f>F6*C6</f>
        <v>2.1870000000000001E-2</v>
      </c>
    </row>
    <row r="7" spans="1:8">
      <c r="B7" s="1" t="s">
        <v>115</v>
      </c>
      <c r="C7" s="1"/>
      <c r="D7" s="1">
        <f>SUM(D4:D6)</f>
        <v>0.13</v>
      </c>
      <c r="E7" s="1"/>
      <c r="F7" s="1" t="s">
        <v>116</v>
      </c>
      <c r="G7" s="1">
        <f>SUM(G4:G6)</f>
        <v>4.41E-2</v>
      </c>
    </row>
    <row r="8" spans="1:8">
      <c r="E8" s="1" t="s">
        <v>117</v>
      </c>
      <c r="F8" s="1"/>
      <c r="G8" s="1">
        <f>G7^0.5</f>
        <v>0.21</v>
      </c>
    </row>
    <row r="10" spans="1:8" ht="18">
      <c r="B10" s="3" t="s">
        <v>118</v>
      </c>
    </row>
    <row r="11" spans="1:8">
      <c r="A11" s="17" t="s">
        <v>4</v>
      </c>
      <c r="B11" s="17" t="s">
        <v>119</v>
      </c>
      <c r="C11" s="17" t="s">
        <v>120</v>
      </c>
      <c r="D11" s="1"/>
      <c r="E11" s="1"/>
      <c r="F11" s="1"/>
      <c r="G11" s="1"/>
    </row>
    <row r="12" spans="1:8">
      <c r="A12">
        <v>1</v>
      </c>
      <c r="B12">
        <v>0.4</v>
      </c>
      <c r="C12">
        <v>0.2</v>
      </c>
      <c r="E12">
        <f t="shared" ref="E12:F19" si="0">(B12-B$20)^2*0.125</f>
        <v>1.7578125000000083E-4</v>
      </c>
      <c r="F12">
        <f t="shared" si="0"/>
        <v>1.2189453125000002E-3</v>
      </c>
      <c r="G12" s="1" t="s">
        <v>121</v>
      </c>
    </row>
    <row r="13" spans="1:8">
      <c r="A13">
        <f t="shared" ref="A13:A19" si="1">A12+1</f>
        <v>2</v>
      </c>
      <c r="B13">
        <v>0.9</v>
      </c>
      <c r="C13">
        <v>0.1</v>
      </c>
      <c r="E13">
        <f t="shared" si="0"/>
        <v>3.6113281250000011E-2</v>
      </c>
      <c r="F13">
        <f t="shared" si="0"/>
        <v>1.9531250000000035E-7</v>
      </c>
      <c r="G13" s="1" t="s">
        <v>122</v>
      </c>
    </row>
    <row r="14" spans="1:8">
      <c r="A14">
        <f t="shared" si="1"/>
        <v>3</v>
      </c>
      <c r="B14">
        <v>-0.8</v>
      </c>
      <c r="C14">
        <v>0.12</v>
      </c>
      <c r="E14">
        <f t="shared" si="0"/>
        <v>0.16892578125000002</v>
      </c>
      <c r="F14">
        <f t="shared" si="0"/>
        <v>4.3945312499999951E-5</v>
      </c>
      <c r="G14" s="1" t="s">
        <v>123</v>
      </c>
    </row>
    <row r="15" spans="1:8">
      <c r="A15">
        <f t="shared" si="1"/>
        <v>4</v>
      </c>
      <c r="B15">
        <v>0.9</v>
      </c>
      <c r="C15">
        <v>0.05</v>
      </c>
      <c r="E15">
        <f t="shared" si="0"/>
        <v>3.6113281250000011E-2</v>
      </c>
      <c r="F15">
        <f t="shared" si="0"/>
        <v>3.2832031250000005E-4</v>
      </c>
      <c r="G15" s="1" t="s">
        <v>124</v>
      </c>
    </row>
    <row r="16" spans="1:8">
      <c r="A16">
        <f t="shared" si="1"/>
        <v>5</v>
      </c>
      <c r="B16">
        <v>0.9</v>
      </c>
      <c r="C16">
        <v>0.02</v>
      </c>
      <c r="E16">
        <f t="shared" si="0"/>
        <v>3.6113281250000011E-2</v>
      </c>
      <c r="F16">
        <f t="shared" si="0"/>
        <v>8.2519531250000008E-4</v>
      </c>
    </row>
    <row r="17" spans="1:8">
      <c r="A17">
        <f t="shared" si="1"/>
        <v>6</v>
      </c>
      <c r="B17">
        <v>0.9</v>
      </c>
      <c r="C17">
        <v>0.09</v>
      </c>
      <c r="E17">
        <f t="shared" si="0"/>
        <v>3.6113281250000011E-2</v>
      </c>
      <c r="F17">
        <f t="shared" si="0"/>
        <v>1.582031250000003E-5</v>
      </c>
    </row>
    <row r="18" spans="1:8">
      <c r="A18">
        <f t="shared" si="1"/>
        <v>7</v>
      </c>
      <c r="B18">
        <v>-0.2</v>
      </c>
      <c r="C18">
        <v>0.11</v>
      </c>
      <c r="E18">
        <f t="shared" si="0"/>
        <v>3.955078125E-2</v>
      </c>
      <c r="F18">
        <f t="shared" si="0"/>
        <v>9.5703124999999861E-6</v>
      </c>
    </row>
    <row r="19" spans="1:8">
      <c r="A19">
        <f t="shared" si="1"/>
        <v>8</v>
      </c>
      <c r="B19" s="18">
        <v>-0.1</v>
      </c>
      <c r="C19" s="18">
        <v>0.12</v>
      </c>
      <c r="E19" s="18">
        <f t="shared" si="0"/>
        <v>2.6738281249999989E-2</v>
      </c>
      <c r="F19" s="18">
        <f t="shared" si="0"/>
        <v>4.3945312499999951E-5</v>
      </c>
    </row>
    <row r="20" spans="1:8">
      <c r="B20">
        <f>SUM(B12:B19)/8</f>
        <v>0.36249999999999993</v>
      </c>
      <c r="C20">
        <f>SUM(C12:C19)/8</f>
        <v>0.10125000000000001</v>
      </c>
      <c r="E20">
        <f>SUM(E12:E19)</f>
        <v>0.37984375000000009</v>
      </c>
      <c r="F20">
        <f>SUM(F12:F19)</f>
        <v>2.4859374999999999E-3</v>
      </c>
      <c r="G20" s="1" t="s">
        <v>125</v>
      </c>
      <c r="H20" s="1"/>
    </row>
    <row r="21" spans="1:8">
      <c r="B21" s="1" t="s">
        <v>126</v>
      </c>
      <c r="E21">
        <f>E20^0.5</f>
        <v>0.6163146517810526</v>
      </c>
      <c r="F21">
        <f>F20^0.5</f>
        <v>4.9859176687947822E-2</v>
      </c>
      <c r="G21" s="1" t="s">
        <v>127</v>
      </c>
      <c r="H21" s="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57"/>
  <sheetViews>
    <sheetView workbookViewId="0">
      <selection activeCell="A2" sqref="A2"/>
    </sheetView>
  </sheetViews>
  <sheetFormatPr defaultRowHeight="12.75"/>
  <cols>
    <col min="5" max="5" width="14" customWidth="1"/>
  </cols>
  <sheetData>
    <row r="1" spans="1:13" ht="18">
      <c r="A1" s="3" t="s">
        <v>104</v>
      </c>
    </row>
    <row r="2" spans="1:13">
      <c r="A2" s="9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>
      <c r="A3" s="10" t="s">
        <v>52</v>
      </c>
    </row>
    <row r="4" spans="1:13">
      <c r="A4" t="s">
        <v>53</v>
      </c>
      <c r="B4" t="s">
        <v>57</v>
      </c>
      <c r="C4" t="s">
        <v>59</v>
      </c>
      <c r="D4" t="s">
        <v>60</v>
      </c>
      <c r="E4" t="s">
        <v>71</v>
      </c>
    </row>
    <row r="5" spans="1:13">
      <c r="A5" s="11">
        <v>37502</v>
      </c>
      <c r="B5">
        <v>38.9</v>
      </c>
      <c r="C5">
        <f t="shared" ref="C5:C27" si="0">(B5-B6)/B6</f>
        <v>-0.18721270371918097</v>
      </c>
      <c r="D5">
        <f t="shared" ref="D5:D28" si="1">C5+1</f>
        <v>0.81278729628081903</v>
      </c>
      <c r="E5">
        <f t="shared" ref="E5:E27" si="2">((C5-C$29)^2)/23</f>
        <v>1.3477174581011705E-3</v>
      </c>
      <c r="F5" t="s">
        <v>61</v>
      </c>
      <c r="G5" s="1">
        <f t="array" ref="G5">PRODUCT(D5:D27)</f>
        <v>0.66758194611292254</v>
      </c>
      <c r="H5" t="s">
        <v>62</v>
      </c>
    </row>
    <row r="6" spans="1:13">
      <c r="A6" s="11">
        <v>37469</v>
      </c>
      <c r="B6">
        <v>47.86</v>
      </c>
      <c r="C6">
        <f t="shared" si="0"/>
        <v>2.8141783029001124E-2</v>
      </c>
      <c r="D6">
        <f t="shared" si="1"/>
        <v>1.0281417830290012</v>
      </c>
      <c r="E6">
        <f t="shared" si="2"/>
        <v>6.7129232145356947E-5</v>
      </c>
      <c r="F6" t="s">
        <v>63</v>
      </c>
      <c r="G6" s="1">
        <f>G5^(1/24)-1</f>
        <v>-1.6696260086148329E-2</v>
      </c>
      <c r="H6" t="s">
        <v>64</v>
      </c>
    </row>
    <row r="7" spans="1:13">
      <c r="A7" s="11">
        <v>37438</v>
      </c>
      <c r="B7">
        <v>46.55</v>
      </c>
      <c r="C7">
        <f t="shared" si="0"/>
        <v>-0.12909260991580926</v>
      </c>
      <c r="D7">
        <f t="shared" si="1"/>
        <v>0.87090739008419071</v>
      </c>
      <c r="E7">
        <f t="shared" si="2"/>
        <v>6.0478585425328035E-4</v>
      </c>
      <c r="F7" t="s">
        <v>65</v>
      </c>
      <c r="G7" s="1">
        <f>(1+G6)^12-1</f>
        <v>-0.18294311941400165</v>
      </c>
      <c r="H7" t="s">
        <v>66</v>
      </c>
    </row>
    <row r="8" spans="1:13">
      <c r="A8" s="11">
        <v>37410</v>
      </c>
      <c r="B8">
        <v>53.45</v>
      </c>
      <c r="C8">
        <f t="shared" si="0"/>
        <v>-0.13998390989541426</v>
      </c>
      <c r="D8">
        <f t="shared" si="1"/>
        <v>0.86001609010458568</v>
      </c>
      <c r="E8">
        <f t="shared" si="2"/>
        <v>7.2164157558866372E-4</v>
      </c>
      <c r="F8" t="s">
        <v>63</v>
      </c>
      <c r="G8" s="1">
        <f>(B5/B28)^(1/24)-1</f>
        <v>-1.6696260086148329E-2</v>
      </c>
      <c r="H8" t="s">
        <v>64</v>
      </c>
    </row>
    <row r="9" spans="1:13">
      <c r="A9" s="11">
        <v>37377</v>
      </c>
      <c r="B9">
        <v>62.15</v>
      </c>
      <c r="C9">
        <f t="shared" si="0"/>
        <v>-2.4026381909547756E-2</v>
      </c>
      <c r="D9">
        <f t="shared" si="1"/>
        <v>0.97597361809045224</v>
      </c>
      <c r="E9">
        <f t="shared" si="2"/>
        <v>7.2069228820943436E-6</v>
      </c>
      <c r="F9" t="s">
        <v>65</v>
      </c>
      <c r="G9" s="1">
        <f>(1+G8)^12-1</f>
        <v>-0.18294311941400165</v>
      </c>
      <c r="H9" t="s">
        <v>66</v>
      </c>
    </row>
    <row r="10" spans="1:13">
      <c r="A10" s="11">
        <v>37347</v>
      </c>
      <c r="B10">
        <v>63.68</v>
      </c>
      <c r="C10">
        <f t="shared" si="0"/>
        <v>6.1156473921013192E-2</v>
      </c>
      <c r="D10">
        <f t="shared" si="1"/>
        <v>1.0611564739210131</v>
      </c>
      <c r="E10">
        <f t="shared" si="2"/>
        <v>2.2732443266563904E-4</v>
      </c>
      <c r="F10" t="s">
        <v>72</v>
      </c>
      <c r="G10" s="1">
        <f>E29</f>
        <v>1.2060595701261263E-2</v>
      </c>
      <c r="H10" t="s">
        <v>73</v>
      </c>
    </row>
    <row r="11" spans="1:13">
      <c r="A11" s="11">
        <v>37316</v>
      </c>
      <c r="B11">
        <v>60.01</v>
      </c>
      <c r="C11">
        <f t="shared" si="0"/>
        <v>0.14109146225518149</v>
      </c>
      <c r="D11">
        <f t="shared" si="1"/>
        <v>1.1410914622551815</v>
      </c>
      <c r="E11">
        <f t="shared" si="2"/>
        <v>1.0077373592574817E-3</v>
      </c>
      <c r="F11" t="s">
        <v>74</v>
      </c>
      <c r="G11" s="1">
        <f>G10^0.5</f>
        <v>0.10982074349257186</v>
      </c>
      <c r="H11" t="s">
        <v>75</v>
      </c>
    </row>
    <row r="12" spans="1:13">
      <c r="A12" s="11">
        <v>37288</v>
      </c>
      <c r="B12">
        <v>52.59</v>
      </c>
      <c r="C12">
        <f t="shared" si="0"/>
        <v>4.6567164179104545E-2</v>
      </c>
      <c r="D12">
        <f t="shared" si="1"/>
        <v>1.0465671641791046</v>
      </c>
      <c r="E12">
        <f t="shared" si="2"/>
        <v>1.44846054274451E-4</v>
      </c>
      <c r="F12" t="s">
        <v>74</v>
      </c>
      <c r="G12" s="1">
        <f>G11*12^0.5</f>
        <v>0.38043021490824719</v>
      </c>
      <c r="H12" t="s">
        <v>76</v>
      </c>
    </row>
    <row r="13" spans="1:13">
      <c r="A13" s="11">
        <v>37258</v>
      </c>
      <c r="B13">
        <v>50.25</v>
      </c>
      <c r="C13">
        <f t="shared" si="0"/>
        <v>5.2135678391959844E-2</v>
      </c>
      <c r="D13">
        <f t="shared" si="1"/>
        <v>1.0521356783919598</v>
      </c>
      <c r="E13">
        <f t="shared" si="2"/>
        <v>1.7414275890603699E-4</v>
      </c>
    </row>
    <row r="14" spans="1:13">
      <c r="A14" s="11">
        <v>37228</v>
      </c>
      <c r="B14">
        <v>47.76</v>
      </c>
      <c r="C14">
        <f t="shared" si="0"/>
        <v>-2.2113022113022223E-2</v>
      </c>
      <c r="D14">
        <f t="shared" si="1"/>
        <v>0.97788697788697776</v>
      </c>
      <c r="E14">
        <f t="shared" si="2"/>
        <v>5.2240047027541098E-6</v>
      </c>
    </row>
    <row r="15" spans="1:13">
      <c r="A15" s="11">
        <v>37196</v>
      </c>
      <c r="B15">
        <v>48.84</v>
      </c>
      <c r="C15">
        <f t="shared" si="0"/>
        <v>0.21704460503364068</v>
      </c>
      <c r="D15">
        <f t="shared" si="1"/>
        <v>1.2170446050336408</v>
      </c>
      <c r="E15">
        <f t="shared" si="2"/>
        <v>2.2640661682019796E-3</v>
      </c>
    </row>
    <row r="16" spans="1:13">
      <c r="A16" s="11">
        <v>37165</v>
      </c>
      <c r="B16">
        <v>40.130000000000003</v>
      </c>
      <c r="C16">
        <f t="shared" si="0"/>
        <v>-3.6725876140182287E-2</v>
      </c>
      <c r="D16">
        <f t="shared" si="1"/>
        <v>0.9632741238598177</v>
      </c>
      <c r="E16">
        <f t="shared" si="2"/>
        <v>2.843661064749275E-5</v>
      </c>
    </row>
    <row r="17" spans="1:5">
      <c r="A17" s="11">
        <v>37138</v>
      </c>
      <c r="B17">
        <v>41.66</v>
      </c>
      <c r="C17">
        <f t="shared" si="0"/>
        <v>-0.21647545608425814</v>
      </c>
      <c r="D17">
        <f t="shared" si="1"/>
        <v>0.78352454391574189</v>
      </c>
      <c r="E17">
        <f t="shared" si="2"/>
        <v>1.83295101701375E-3</v>
      </c>
    </row>
    <row r="18" spans="1:5">
      <c r="A18" s="11">
        <v>37104</v>
      </c>
      <c r="B18">
        <v>53.17</v>
      </c>
      <c r="C18">
        <f t="shared" si="0"/>
        <v>-0.13234334203655351</v>
      </c>
      <c r="D18">
        <f t="shared" si="1"/>
        <v>0.86765665796344649</v>
      </c>
      <c r="E18">
        <f t="shared" si="2"/>
        <v>6.3858395513208613E-4</v>
      </c>
    </row>
    <row r="19" spans="1:5">
      <c r="A19" s="11">
        <v>37074</v>
      </c>
      <c r="B19">
        <v>61.28</v>
      </c>
      <c r="C19">
        <f t="shared" si="0"/>
        <v>-1.1612903225806433E-2</v>
      </c>
      <c r="D19">
        <f t="shared" si="1"/>
        <v>0.98838709677419356</v>
      </c>
      <c r="E19">
        <f t="shared" si="2"/>
        <v>9.2509832457727514E-9</v>
      </c>
    </row>
    <row r="20" spans="1:5">
      <c r="A20" s="11">
        <v>37043</v>
      </c>
      <c r="B20">
        <v>62</v>
      </c>
      <c r="C20">
        <f t="shared" si="0"/>
        <v>0.13076782783147914</v>
      </c>
      <c r="D20">
        <f t="shared" si="1"/>
        <v>1.1307678278314792</v>
      </c>
      <c r="E20">
        <f t="shared" si="2"/>
        <v>8.7570141853515824E-4</v>
      </c>
    </row>
    <row r="21" spans="1:5">
      <c r="A21" s="11">
        <v>37012</v>
      </c>
      <c r="B21">
        <v>54.83</v>
      </c>
      <c r="C21">
        <f t="shared" si="0"/>
        <v>4.7573557508597528E-2</v>
      </c>
      <c r="D21">
        <f t="shared" si="1"/>
        <v>1.0475735575085976</v>
      </c>
      <c r="E21">
        <f t="shared" si="2"/>
        <v>1.4994120415473409E-4</v>
      </c>
    </row>
    <row r="22" spans="1:5">
      <c r="A22" s="11">
        <v>36983</v>
      </c>
      <c r="B22">
        <v>52.34</v>
      </c>
      <c r="C22">
        <f t="shared" si="0"/>
        <v>5.7160169662694514E-2</v>
      </c>
      <c r="D22">
        <f t="shared" si="1"/>
        <v>1.0571601696626944</v>
      </c>
      <c r="E22">
        <f t="shared" si="2"/>
        <v>2.0289139254660391E-4</v>
      </c>
    </row>
    <row r="23" spans="1:5">
      <c r="A23" s="11">
        <v>36951</v>
      </c>
      <c r="B23">
        <v>49.51</v>
      </c>
      <c r="C23">
        <f t="shared" si="0"/>
        <v>-2.7690494893951367E-2</v>
      </c>
      <c r="D23">
        <f t="shared" si="1"/>
        <v>0.97230950510604863</v>
      </c>
      <c r="E23">
        <f t="shared" si="2"/>
        <v>1.1892784285380342E-5</v>
      </c>
    </row>
    <row r="24" spans="1:5">
      <c r="A24" s="11">
        <v>36923</v>
      </c>
      <c r="B24">
        <v>50.92</v>
      </c>
      <c r="C24">
        <f t="shared" si="0"/>
        <v>1.9677292404565411E-3</v>
      </c>
      <c r="D24">
        <f t="shared" si="1"/>
        <v>1.0019677292404565</v>
      </c>
      <c r="E24">
        <f t="shared" si="2"/>
        <v>7.4833738053398431E-6</v>
      </c>
    </row>
    <row r="25" spans="1:5">
      <c r="A25" s="11">
        <v>36893</v>
      </c>
      <c r="B25">
        <v>50.82</v>
      </c>
      <c r="C25">
        <f t="shared" si="0"/>
        <v>5.4138145612943361E-2</v>
      </c>
      <c r="D25">
        <f t="shared" si="1"/>
        <v>1.0541381456129433</v>
      </c>
      <c r="E25">
        <f t="shared" si="2"/>
        <v>1.8533716750229352E-4</v>
      </c>
    </row>
    <row r="26" spans="1:5">
      <c r="A26" s="11">
        <v>36861</v>
      </c>
      <c r="B26">
        <v>48.21</v>
      </c>
      <c r="C26">
        <f t="shared" si="0"/>
        <v>2.9028815368196358E-2</v>
      </c>
      <c r="D26">
        <f t="shared" si="1"/>
        <v>1.0290288153681963</v>
      </c>
      <c r="E26">
        <f t="shared" si="2"/>
        <v>7.0194270547031446E-5</v>
      </c>
    </row>
    <row r="27" spans="1:5">
      <c r="A27" s="11">
        <v>36831</v>
      </c>
      <c r="B27">
        <v>46.85</v>
      </c>
      <c r="C27">
        <f t="shared" si="0"/>
        <v>-0.19598421142955211</v>
      </c>
      <c r="D27">
        <f t="shared" si="1"/>
        <v>0.80401578857044786</v>
      </c>
      <c r="E27">
        <f t="shared" si="2"/>
        <v>1.4853514351292369E-3</v>
      </c>
    </row>
    <row r="28" spans="1:5">
      <c r="A28" s="11">
        <v>36801</v>
      </c>
      <c r="B28">
        <v>58.27</v>
      </c>
      <c r="C28" t="s">
        <v>67</v>
      </c>
      <c r="D28" t="e">
        <f t="shared" si="1"/>
        <v>#VALUE!</v>
      </c>
    </row>
    <row r="29" spans="1:5">
      <c r="B29" t="s">
        <v>77</v>
      </c>
      <c r="C29">
        <f>SUM(C5:C27)/23</f>
        <v>-1.1151630405609131E-2</v>
      </c>
      <c r="D29" s="4" t="s">
        <v>78</v>
      </c>
      <c r="E29">
        <f>SUM(E5:E27)</f>
        <v>1.2060595701261263E-2</v>
      </c>
    </row>
    <row r="31" spans="1:5" ht="15.75">
      <c r="A31" s="10" t="s">
        <v>68</v>
      </c>
    </row>
    <row r="32" spans="1:5">
      <c r="A32" t="s">
        <v>53</v>
      </c>
      <c r="B32" t="s">
        <v>57</v>
      </c>
      <c r="C32" t="s">
        <v>59</v>
      </c>
      <c r="D32" t="s">
        <v>60</v>
      </c>
      <c r="E32" t="s">
        <v>71</v>
      </c>
    </row>
    <row r="33" spans="1:8">
      <c r="A33" s="11">
        <v>37502</v>
      </c>
      <c r="B33">
        <v>1.96</v>
      </c>
      <c r="C33">
        <f t="shared" ref="C33:C55" si="3">(B33-B34)/B34</f>
        <v>-0.50505050505050508</v>
      </c>
      <c r="D33">
        <f t="shared" ref="D33:D56" si="4">C33+1</f>
        <v>0.49494949494949492</v>
      </c>
      <c r="E33">
        <f t="shared" ref="E33:E55" si="5">((C33-C$57)^2)/23</f>
        <v>7.7325151267718098E-3</v>
      </c>
      <c r="F33" t="s">
        <v>61</v>
      </c>
      <c r="G33" s="1">
        <f t="array" ref="G33">PRODUCT(D33:D55)</f>
        <v>5.1416579223504719E-2</v>
      </c>
      <c r="H33" t="s">
        <v>62</v>
      </c>
    </row>
    <row r="34" spans="1:8">
      <c r="A34" s="11">
        <v>37469</v>
      </c>
      <c r="B34">
        <v>3.96</v>
      </c>
      <c r="C34">
        <f t="shared" si="3"/>
        <v>-3.414634146341456E-2</v>
      </c>
      <c r="D34">
        <f t="shared" si="4"/>
        <v>0.96585365853658545</v>
      </c>
      <c r="E34">
        <f t="shared" si="5"/>
        <v>1.0517702207708273E-4</v>
      </c>
      <c r="F34" t="s">
        <v>63</v>
      </c>
      <c r="G34" s="1">
        <f>G33^(1/24)-1</f>
        <v>-0.11631808748028472</v>
      </c>
      <c r="H34" t="s">
        <v>64</v>
      </c>
    </row>
    <row r="35" spans="1:8">
      <c r="A35" s="11">
        <v>37438</v>
      </c>
      <c r="B35">
        <v>4.0999999999999996</v>
      </c>
      <c r="C35">
        <f t="shared" si="3"/>
        <v>-8.2774049217002266E-2</v>
      </c>
      <c r="D35">
        <f t="shared" si="4"/>
        <v>0.91722595078299773</v>
      </c>
      <c r="E35">
        <f t="shared" si="5"/>
        <v>1.3457608290025843E-8</v>
      </c>
      <c r="F35" t="s">
        <v>65</v>
      </c>
      <c r="G35" s="1">
        <f>(1+G34)^12-1</f>
        <v>-0.77324775806289214</v>
      </c>
      <c r="H35" t="s">
        <v>66</v>
      </c>
    </row>
    <row r="36" spans="1:8">
      <c r="A36" s="11">
        <v>37410</v>
      </c>
      <c r="B36">
        <v>4.47</v>
      </c>
      <c r="C36">
        <f t="shared" si="3"/>
        <v>-0.57183908045977017</v>
      </c>
      <c r="D36">
        <f t="shared" si="4"/>
        <v>0.42816091954022983</v>
      </c>
      <c r="E36">
        <f t="shared" si="5"/>
        <v>1.0375683997431061E-2</v>
      </c>
      <c r="F36" t="s">
        <v>63</v>
      </c>
      <c r="G36" s="1">
        <f>(B33/B56)^(1/24)-1</f>
        <v>-0.11631808748028472</v>
      </c>
      <c r="H36" t="s">
        <v>64</v>
      </c>
    </row>
    <row r="37" spans="1:8">
      <c r="A37" s="11">
        <v>37377</v>
      </c>
      <c r="B37">
        <v>10.44</v>
      </c>
      <c r="C37">
        <f t="shared" si="3"/>
        <v>-6.8688670829616535E-2</v>
      </c>
      <c r="D37">
        <f t="shared" si="4"/>
        <v>0.93131132917038351</v>
      </c>
      <c r="E37">
        <f t="shared" si="5"/>
        <v>9.3208783233505253E-6</v>
      </c>
      <c r="F37" t="s">
        <v>65</v>
      </c>
      <c r="G37" s="1">
        <f>(1+G36)^12-1</f>
        <v>-0.77324775806289214</v>
      </c>
      <c r="H37" t="s">
        <v>66</v>
      </c>
    </row>
    <row r="38" spans="1:8">
      <c r="A38" s="11">
        <v>37347</v>
      </c>
      <c r="B38">
        <v>11.21</v>
      </c>
      <c r="C38">
        <f t="shared" si="3"/>
        <v>8.9407191448007947E-2</v>
      </c>
      <c r="D38">
        <f t="shared" si="4"/>
        <v>1.0894071914480079</v>
      </c>
      <c r="E38">
        <f t="shared" si="5"/>
        <v>1.2973163098141296E-3</v>
      </c>
      <c r="F38" t="s">
        <v>79</v>
      </c>
      <c r="G38" s="1">
        <f>E57</f>
        <v>6.3410123637947832E-2</v>
      </c>
      <c r="H38" t="s">
        <v>73</v>
      </c>
    </row>
    <row r="39" spans="1:8">
      <c r="A39" s="11">
        <v>37316</v>
      </c>
      <c r="B39">
        <v>10.29</v>
      </c>
      <c r="C39">
        <f t="shared" si="3"/>
        <v>0.11243243243243234</v>
      </c>
      <c r="D39">
        <f t="shared" si="4"/>
        <v>1.1124324324324324</v>
      </c>
      <c r="E39">
        <f t="shared" si="5"/>
        <v>1.6662211364627851E-3</v>
      </c>
      <c r="F39" t="s">
        <v>80</v>
      </c>
      <c r="G39" s="1">
        <f>G38^0.5</f>
        <v>0.25181366848911885</v>
      </c>
      <c r="H39" t="s">
        <v>75</v>
      </c>
    </row>
    <row r="40" spans="1:8">
      <c r="A40" s="11">
        <v>37288</v>
      </c>
      <c r="B40">
        <v>9.25</v>
      </c>
      <c r="C40">
        <f t="shared" si="3"/>
        <v>-0.43528693528693524</v>
      </c>
      <c r="D40">
        <f t="shared" si="4"/>
        <v>0.56471306471306471</v>
      </c>
      <c r="E40">
        <f t="shared" si="5"/>
        <v>5.3858001518376974E-3</v>
      </c>
      <c r="F40" t="s">
        <v>80</v>
      </c>
      <c r="G40" s="1">
        <f>G39*12^0.5</f>
        <v>0.87230813572691968</v>
      </c>
      <c r="H40" t="s">
        <v>76</v>
      </c>
    </row>
    <row r="41" spans="1:8">
      <c r="A41" s="11">
        <v>37258</v>
      </c>
      <c r="B41">
        <v>16.38</v>
      </c>
      <c r="C41">
        <f t="shared" si="3"/>
        <v>-0.32896353953297836</v>
      </c>
      <c r="D41">
        <f t="shared" si="4"/>
        <v>0.67103646046702159</v>
      </c>
      <c r="E41">
        <f t="shared" si="5"/>
        <v>2.623288685564933E-3</v>
      </c>
    </row>
    <row r="42" spans="1:8">
      <c r="A42" s="11">
        <v>37228</v>
      </c>
      <c r="B42">
        <v>24.41</v>
      </c>
      <c r="C42">
        <f t="shared" si="3"/>
        <v>-2.1643286573146257E-2</v>
      </c>
      <c r="D42">
        <f t="shared" si="4"/>
        <v>0.97835671342685371</v>
      </c>
      <c r="E42">
        <f t="shared" si="5"/>
        <v>1.6544781867578728E-4</v>
      </c>
    </row>
    <row r="43" spans="1:8">
      <c r="A43" s="11">
        <v>37196</v>
      </c>
      <c r="B43">
        <v>24.95</v>
      </c>
      <c r="C43">
        <f t="shared" si="3"/>
        <v>0.11883408071748872</v>
      </c>
      <c r="D43">
        <f t="shared" si="4"/>
        <v>1.1188340807174888</v>
      </c>
      <c r="E43">
        <f t="shared" si="5"/>
        <v>1.7769772533306166E-3</v>
      </c>
    </row>
    <row r="44" spans="1:8">
      <c r="A44" s="11">
        <v>37165</v>
      </c>
      <c r="B44">
        <v>22.3</v>
      </c>
      <c r="C44">
        <f t="shared" si="3"/>
        <v>-0.15176873335869145</v>
      </c>
      <c r="D44">
        <f t="shared" si="4"/>
        <v>0.84823126664130855</v>
      </c>
      <c r="E44">
        <f t="shared" si="5"/>
        <v>2.0364372264821182E-4</v>
      </c>
    </row>
    <row r="45" spans="1:8">
      <c r="A45" s="11">
        <v>37138</v>
      </c>
      <c r="B45">
        <v>26.29</v>
      </c>
      <c r="C45">
        <f t="shared" si="3"/>
        <v>5.2441953562850231E-2</v>
      </c>
      <c r="D45">
        <f t="shared" si="4"/>
        <v>1.0524419535628502</v>
      </c>
      <c r="E45">
        <f t="shared" si="5"/>
        <v>8.014839868868102E-4</v>
      </c>
    </row>
    <row r="46" spans="1:8">
      <c r="A46" s="11">
        <v>37104</v>
      </c>
      <c r="B46">
        <v>24.98</v>
      </c>
      <c r="C46">
        <f t="shared" si="3"/>
        <v>-3.6265432098765482E-2</v>
      </c>
      <c r="D46">
        <f t="shared" si="4"/>
        <v>0.96373456790123457</v>
      </c>
      <c r="E46">
        <f t="shared" si="5"/>
        <v>9.6309178337794445E-5</v>
      </c>
    </row>
    <row r="47" spans="1:8">
      <c r="A47" s="11">
        <v>37074</v>
      </c>
      <c r="B47">
        <v>25.92</v>
      </c>
      <c r="C47">
        <f t="shared" si="3"/>
        <v>7.3291925465838639E-2</v>
      </c>
      <c r="D47">
        <f t="shared" si="4"/>
        <v>1.0732919254658386</v>
      </c>
      <c r="E47">
        <f t="shared" si="5"/>
        <v>1.0665457606800603E-3</v>
      </c>
    </row>
    <row r="48" spans="1:8">
      <c r="A48" s="11">
        <v>37043</v>
      </c>
      <c r="B48">
        <v>24.15</v>
      </c>
      <c r="C48">
        <f t="shared" si="3"/>
        <v>9.7727272727272663E-2</v>
      </c>
      <c r="D48">
        <f t="shared" si="4"/>
        <v>1.0977272727272727</v>
      </c>
      <c r="E48">
        <f t="shared" si="5"/>
        <v>1.4252991505169833E-3</v>
      </c>
    </row>
    <row r="49" spans="1:5">
      <c r="A49" s="11">
        <v>37012</v>
      </c>
      <c r="B49">
        <v>22</v>
      </c>
      <c r="C49">
        <f t="shared" si="3"/>
        <v>-0.14163090128755362</v>
      </c>
      <c r="D49">
        <f t="shared" si="4"/>
        <v>0.85836909871244638</v>
      </c>
      <c r="E49">
        <f t="shared" si="5"/>
        <v>1.4778037288917936E-4</v>
      </c>
    </row>
    <row r="50" spans="1:5">
      <c r="A50" s="11">
        <v>36983</v>
      </c>
      <c r="B50">
        <v>25.63</v>
      </c>
      <c r="C50">
        <f t="shared" si="3"/>
        <v>0.34894736842105256</v>
      </c>
      <c r="D50">
        <f t="shared" si="4"/>
        <v>1.3489473684210527</v>
      </c>
      <c r="E50">
        <f t="shared" si="5"/>
        <v>8.1245247015787961E-3</v>
      </c>
    </row>
    <row r="51" spans="1:5">
      <c r="A51" s="11">
        <v>36951</v>
      </c>
      <c r="B51">
        <v>19</v>
      </c>
      <c r="C51">
        <f t="shared" si="3"/>
        <v>-0.2454328832406672</v>
      </c>
      <c r="D51">
        <f t="shared" si="4"/>
        <v>0.75456711675933286</v>
      </c>
      <c r="E51">
        <f t="shared" si="5"/>
        <v>1.1424876271011728E-3</v>
      </c>
    </row>
    <row r="52" spans="1:5">
      <c r="A52" s="11">
        <v>36923</v>
      </c>
      <c r="B52">
        <v>25.18</v>
      </c>
      <c r="C52">
        <f t="shared" si="3"/>
        <v>-0.17442622950819672</v>
      </c>
      <c r="D52">
        <f t="shared" si="4"/>
        <v>0.82557377049180325</v>
      </c>
      <c r="E52">
        <f t="shared" si="5"/>
        <v>3.6080218916414417E-4</v>
      </c>
    </row>
    <row r="53" spans="1:5">
      <c r="A53" s="11">
        <v>36893</v>
      </c>
      <c r="B53">
        <v>30.5</v>
      </c>
      <c r="C53">
        <f t="shared" si="3"/>
        <v>0.49217221135029343</v>
      </c>
      <c r="D53">
        <f t="shared" si="4"/>
        <v>1.4921722113502933</v>
      </c>
      <c r="E53">
        <f t="shared" si="5"/>
        <v>1.4400141496805196E-2</v>
      </c>
    </row>
    <row r="54" spans="1:5">
      <c r="A54" s="11">
        <v>36861</v>
      </c>
      <c r="B54">
        <v>20.440000000000001</v>
      </c>
      <c r="C54">
        <f t="shared" si="3"/>
        <v>-9.9162626707800794E-2</v>
      </c>
      <c r="D54">
        <f t="shared" si="4"/>
        <v>0.90083737329219926</v>
      </c>
      <c r="E54">
        <f t="shared" si="5"/>
        <v>1.0898236381016233E-5</v>
      </c>
    </row>
    <row r="55" spans="1:5">
      <c r="A55" s="11">
        <v>36831</v>
      </c>
      <c r="B55">
        <v>22.69</v>
      </c>
      <c r="C55">
        <f t="shared" si="3"/>
        <v>-0.40477439664218251</v>
      </c>
      <c r="D55">
        <f t="shared" si="4"/>
        <v>0.59522560335781749</v>
      </c>
      <c r="E55">
        <f t="shared" si="5"/>
        <v>4.4924453770609305E-3</v>
      </c>
    </row>
    <row r="56" spans="1:5">
      <c r="A56" s="11">
        <v>36801</v>
      </c>
      <c r="B56">
        <v>38.119999999999997</v>
      </c>
      <c r="C56" t="s">
        <v>67</v>
      </c>
      <c r="D56" t="e">
        <f t="shared" si="4"/>
        <v>#VALUE!</v>
      </c>
    </row>
    <row r="57" spans="1:5">
      <c r="B57" t="s">
        <v>77</v>
      </c>
      <c r="C57">
        <f>SUM(C33:C55)/23</f>
        <v>-8.3330398918782175E-2</v>
      </c>
      <c r="D57" s="4" t="s">
        <v>78</v>
      </c>
      <c r="E57">
        <f>SUM(E33:E55)</f>
        <v>6.3410123637947832E-2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A2" sqref="A2"/>
    </sheetView>
  </sheetViews>
  <sheetFormatPr defaultRowHeight="12.75"/>
  <cols>
    <col min="1" max="1" width="2.140625" bestFit="1" customWidth="1"/>
    <col min="2" max="3" width="8.5703125" bestFit="1" customWidth="1"/>
    <col min="5" max="6" width="14" bestFit="1" customWidth="1"/>
  </cols>
  <sheetData>
    <row r="1" spans="1:10" ht="18">
      <c r="D1" s="3" t="s">
        <v>128</v>
      </c>
    </row>
    <row r="2" spans="1:10" ht="18">
      <c r="A2" s="5"/>
      <c r="B2" s="5"/>
      <c r="C2" s="5"/>
      <c r="D2" s="15" t="s">
        <v>129</v>
      </c>
      <c r="E2" s="5"/>
      <c r="F2" s="5"/>
      <c r="G2" s="5"/>
      <c r="H2" s="5"/>
      <c r="I2" s="5"/>
      <c r="J2" s="5"/>
    </row>
    <row r="3" spans="1:10">
      <c r="A3" s="16" t="s">
        <v>108</v>
      </c>
      <c r="B3" s="17" t="s">
        <v>130</v>
      </c>
      <c r="C3" s="17" t="s">
        <v>131</v>
      </c>
      <c r="D3" s="17" t="s">
        <v>132</v>
      </c>
      <c r="E3" s="17" t="s">
        <v>133</v>
      </c>
      <c r="F3" s="17" t="s">
        <v>134</v>
      </c>
      <c r="G3" s="17" t="s">
        <v>135</v>
      </c>
      <c r="H3" s="17"/>
      <c r="I3" s="18"/>
      <c r="J3" s="18"/>
    </row>
    <row r="4" spans="1:10">
      <c r="A4">
        <v>1</v>
      </c>
      <c r="B4">
        <v>-0.2</v>
      </c>
      <c r="C4">
        <v>0.5</v>
      </c>
      <c r="D4">
        <v>0.2</v>
      </c>
      <c r="E4">
        <f>B4-C$9</f>
        <v>-0.33</v>
      </c>
      <c r="F4">
        <f>C4-C$10</f>
        <v>0.25999999999999995</v>
      </c>
      <c r="G4">
        <f>E4*F4*D4</f>
        <v>-1.7159999999999998E-2</v>
      </c>
    </row>
    <row r="5" spans="1:10">
      <c r="A5">
        <v>2</v>
      </c>
      <c r="B5">
        <v>0.1</v>
      </c>
      <c r="C5">
        <v>0.4</v>
      </c>
      <c r="D5">
        <v>0.5</v>
      </c>
      <c r="E5">
        <f>B5-C$9</f>
        <v>-0.03</v>
      </c>
      <c r="F5">
        <f>C5-C$10</f>
        <v>0.15999999999999998</v>
      </c>
      <c r="G5">
        <f>E5*F5*D5</f>
        <v>-2.3999999999999994E-3</v>
      </c>
    </row>
    <row r="6" spans="1:10">
      <c r="A6">
        <v>3</v>
      </c>
      <c r="B6">
        <v>0.4</v>
      </c>
      <c r="C6">
        <v>-0.2</v>
      </c>
      <c r="D6">
        <v>0.3</v>
      </c>
      <c r="E6">
        <f>B6-C$9</f>
        <v>0.27</v>
      </c>
      <c r="F6">
        <f>C6-C$10</f>
        <v>-0.44000000000000006</v>
      </c>
      <c r="G6" s="18">
        <f>E6*F6*D6</f>
        <v>-3.5640000000000005E-2</v>
      </c>
    </row>
    <row r="7" spans="1:10">
      <c r="D7" s="1"/>
      <c r="E7" s="1"/>
      <c r="F7" s="1" t="s">
        <v>136</v>
      </c>
      <c r="G7" s="1">
        <f>SUM(G4:G6)</f>
        <v>-5.5199999999999999E-2</v>
      </c>
      <c r="H7" s="1"/>
    </row>
    <row r="8" spans="1:10">
      <c r="F8" s="1"/>
      <c r="G8" s="1"/>
      <c r="H8" s="1"/>
    </row>
    <row r="9" spans="1:10">
      <c r="B9" s="1" t="s">
        <v>137</v>
      </c>
      <c r="C9">
        <f>B4*D4+B5*D5+B6*D6</f>
        <v>0.13</v>
      </c>
    </row>
    <row r="10" spans="1:10">
      <c r="B10" s="1" t="s">
        <v>138</v>
      </c>
      <c r="C10">
        <f>C4*D4+C5*D5+C6*D6</f>
        <v>0.24000000000000005</v>
      </c>
    </row>
    <row r="11" spans="1:10">
      <c r="B11" s="19" t="s">
        <v>139</v>
      </c>
      <c r="C11">
        <f>(E4^2*D4+E5^2*D5+E6^2*D6)^0.5</f>
        <v>0.21</v>
      </c>
    </row>
    <row r="12" spans="1:10">
      <c r="B12" s="19" t="s">
        <v>140</v>
      </c>
      <c r="C12">
        <f>(F4^2*D4+F5^2*D5+F6^2*D6)^0.5</f>
        <v>0.29051678092667899</v>
      </c>
    </row>
    <row r="13" spans="1:10">
      <c r="B13" s="19" t="s">
        <v>141</v>
      </c>
      <c r="C13">
        <f>G7/(C11*C12)</f>
        <v>-0.90479159936541875</v>
      </c>
    </row>
    <row r="14" spans="1:10" ht="14.25">
      <c r="B14" s="19" t="s">
        <v>142</v>
      </c>
      <c r="C14">
        <f>C13^2</f>
        <v>0.81864783828223242</v>
      </c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56"/>
  <sheetViews>
    <sheetView workbookViewId="0">
      <selection activeCell="A4" sqref="A4"/>
    </sheetView>
  </sheetViews>
  <sheetFormatPr defaultRowHeight="12.75"/>
  <cols>
    <col min="2" max="2" width="11.7109375" bestFit="1" customWidth="1"/>
    <col min="4" max="4" width="14.7109375" bestFit="1" customWidth="1"/>
    <col min="5" max="5" width="12.5703125" bestFit="1" customWidth="1"/>
    <col min="7" max="7" width="18.7109375" bestFit="1" customWidth="1"/>
    <col min="8" max="8" width="13.140625" bestFit="1" customWidth="1"/>
  </cols>
  <sheetData>
    <row r="1" spans="1:13" ht="18">
      <c r="A1" s="3" t="s">
        <v>103</v>
      </c>
    </row>
    <row r="2" spans="1:13">
      <c r="A2" s="9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>
      <c r="A3" s="10" t="s">
        <v>82</v>
      </c>
    </row>
    <row r="4" spans="1:13">
      <c r="A4" t="s">
        <v>53</v>
      </c>
      <c r="B4" t="s">
        <v>83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</row>
    <row r="5" spans="1:13">
      <c r="A5" s="11">
        <v>37502</v>
      </c>
      <c r="B5">
        <v>38.9</v>
      </c>
      <c r="C5">
        <f t="shared" ref="C5:C27" si="0">(B5-B6)/B6</f>
        <v>-0.18721270371918097</v>
      </c>
      <c r="D5">
        <f t="shared" ref="D5:D27" si="1">((C5-C$29))</f>
        <v>-0.17606107331357185</v>
      </c>
      <c r="E5">
        <v>1.96</v>
      </c>
      <c r="F5">
        <f t="shared" ref="F5:F27" si="2">(E5-E6)/E6</f>
        <v>-0.50505050505050508</v>
      </c>
      <c r="G5">
        <f t="shared" ref="G5:G27" si="3">(F5-F$29)</f>
        <v>-0.42172010613172289</v>
      </c>
      <c r="H5">
        <f t="shared" ref="H5:H27" si="4">D5*G5</f>
        <v>7.4248494523464562E-2</v>
      </c>
    </row>
    <row r="6" spans="1:13">
      <c r="A6" s="11">
        <v>37469</v>
      </c>
      <c r="B6">
        <v>47.86</v>
      </c>
      <c r="C6">
        <f t="shared" si="0"/>
        <v>2.8141783029001124E-2</v>
      </c>
      <c r="D6">
        <f t="shared" si="1"/>
        <v>3.9293413434610257E-2</v>
      </c>
      <c r="E6">
        <v>3.96</v>
      </c>
      <c r="F6">
        <f t="shared" si="2"/>
        <v>-3.414634146341456E-2</v>
      </c>
      <c r="G6">
        <f t="shared" si="3"/>
        <v>4.9184057455367615E-2</v>
      </c>
      <c r="H6">
        <f t="shared" si="4"/>
        <v>1.9326095039853845E-3</v>
      </c>
    </row>
    <row r="7" spans="1:13">
      <c r="A7" s="11">
        <v>37438</v>
      </c>
      <c r="B7">
        <v>46.55</v>
      </c>
      <c r="C7">
        <f t="shared" si="0"/>
        <v>-0.12909260991580926</v>
      </c>
      <c r="D7">
        <f t="shared" si="1"/>
        <v>-0.11794097951020013</v>
      </c>
      <c r="E7">
        <v>4.0999999999999996</v>
      </c>
      <c r="F7">
        <f t="shared" si="2"/>
        <v>-8.2774049217002266E-2</v>
      </c>
      <c r="G7">
        <f t="shared" si="3"/>
        <v>5.5634970177990961E-4</v>
      </c>
      <c r="H7">
        <f t="shared" si="4"/>
        <v>-6.5616428778130274E-5</v>
      </c>
    </row>
    <row r="8" spans="1:13">
      <c r="A8" s="11">
        <v>37410</v>
      </c>
      <c r="B8">
        <v>53.45</v>
      </c>
      <c r="C8">
        <f t="shared" si="0"/>
        <v>-0.13998390989541426</v>
      </c>
      <c r="D8">
        <f t="shared" si="1"/>
        <v>-0.12883227948980513</v>
      </c>
      <c r="E8">
        <v>4.47</v>
      </c>
      <c r="F8">
        <f t="shared" si="2"/>
        <v>-0.57183908045977017</v>
      </c>
      <c r="G8">
        <f t="shared" si="3"/>
        <v>-0.48850868154098798</v>
      </c>
      <c r="H8">
        <f t="shared" si="4"/>
        <v>6.2935686993484771E-2</v>
      </c>
    </row>
    <row r="9" spans="1:13">
      <c r="A9" s="11">
        <v>37377</v>
      </c>
      <c r="B9">
        <v>62.15</v>
      </c>
      <c r="C9">
        <f t="shared" si="0"/>
        <v>-2.4026381909547756E-2</v>
      </c>
      <c r="D9">
        <f t="shared" si="1"/>
        <v>-1.2874751503938625E-2</v>
      </c>
      <c r="E9">
        <v>10.44</v>
      </c>
      <c r="F9">
        <f t="shared" si="2"/>
        <v>-6.8688670829616535E-2</v>
      </c>
      <c r="G9">
        <f t="shared" si="3"/>
        <v>1.464172808916564E-2</v>
      </c>
      <c r="H9">
        <f t="shared" si="4"/>
        <v>-1.8850861073624575E-4</v>
      </c>
    </row>
    <row r="10" spans="1:13">
      <c r="A10" s="11">
        <v>37347</v>
      </c>
      <c r="B10">
        <v>63.68</v>
      </c>
      <c r="C10">
        <f t="shared" si="0"/>
        <v>6.1156473921013192E-2</v>
      </c>
      <c r="D10">
        <f t="shared" si="1"/>
        <v>7.2308104326622324E-2</v>
      </c>
      <c r="E10">
        <v>11.21</v>
      </c>
      <c r="F10">
        <f t="shared" si="2"/>
        <v>8.9407191448007947E-2</v>
      </c>
      <c r="G10">
        <f t="shared" si="3"/>
        <v>0.17273759036679012</v>
      </c>
      <c r="H10">
        <f t="shared" si="4"/>
        <v>1.2490327705371212E-2</v>
      </c>
    </row>
    <row r="11" spans="1:13">
      <c r="A11" s="11">
        <v>37316</v>
      </c>
      <c r="B11">
        <v>60.01</v>
      </c>
      <c r="C11">
        <f t="shared" si="0"/>
        <v>0.14109146225518149</v>
      </c>
      <c r="D11">
        <f t="shared" si="1"/>
        <v>0.15224309266079061</v>
      </c>
      <c r="E11">
        <v>10.29</v>
      </c>
      <c r="F11">
        <f t="shared" si="2"/>
        <v>0.11243243243243234</v>
      </c>
      <c r="G11">
        <f t="shared" si="3"/>
        <v>0.19576283135121453</v>
      </c>
      <c r="H11">
        <f t="shared" si="4"/>
        <v>2.9803538872941678E-2</v>
      </c>
    </row>
    <row r="12" spans="1:13">
      <c r="A12" s="11">
        <v>37288</v>
      </c>
      <c r="B12">
        <v>52.59</v>
      </c>
      <c r="C12">
        <f t="shared" si="0"/>
        <v>4.6567164179104545E-2</v>
      </c>
      <c r="D12">
        <f t="shared" si="1"/>
        <v>5.7718794584713677E-2</v>
      </c>
      <c r="E12">
        <v>9.25</v>
      </c>
      <c r="F12">
        <f t="shared" si="2"/>
        <v>-0.43528693528693524</v>
      </c>
      <c r="G12">
        <f t="shared" si="3"/>
        <v>-0.35195653636815305</v>
      </c>
      <c r="H12">
        <f t="shared" si="4"/>
        <v>-2.0314507025380735E-2</v>
      </c>
    </row>
    <row r="13" spans="1:13">
      <c r="A13" s="11">
        <v>37258</v>
      </c>
      <c r="B13">
        <v>50.25</v>
      </c>
      <c r="C13">
        <f t="shared" si="0"/>
        <v>5.2135678391959844E-2</v>
      </c>
      <c r="D13">
        <f t="shared" si="1"/>
        <v>6.328730879756897E-2</v>
      </c>
      <c r="E13">
        <v>16.38</v>
      </c>
      <c r="F13">
        <f t="shared" si="2"/>
        <v>-0.32896353953297836</v>
      </c>
      <c r="G13">
        <f t="shared" si="3"/>
        <v>-0.24563314061419617</v>
      </c>
      <c r="H13">
        <f t="shared" si="4"/>
        <v>-1.5545460420967314E-2</v>
      </c>
    </row>
    <row r="14" spans="1:13">
      <c r="A14" s="11">
        <v>37228</v>
      </c>
      <c r="B14">
        <v>47.76</v>
      </c>
      <c r="C14">
        <f t="shared" si="0"/>
        <v>-2.2113022113022223E-2</v>
      </c>
      <c r="D14">
        <f t="shared" si="1"/>
        <v>-1.0961391707413093E-2</v>
      </c>
      <c r="E14">
        <v>24.41</v>
      </c>
      <c r="F14">
        <f t="shared" si="2"/>
        <v>-2.1643286573146257E-2</v>
      </c>
      <c r="G14">
        <f t="shared" si="3"/>
        <v>6.1687112345635918E-2</v>
      </c>
      <c r="H14">
        <f t="shared" si="4"/>
        <v>-6.7617660171971335E-4</v>
      </c>
    </row>
    <row r="15" spans="1:13">
      <c r="A15" s="11">
        <v>37196</v>
      </c>
      <c r="B15">
        <v>48.84</v>
      </c>
      <c r="C15">
        <f t="shared" si="0"/>
        <v>0.21704460503364068</v>
      </c>
      <c r="D15">
        <f t="shared" si="1"/>
        <v>0.2281962354392498</v>
      </c>
      <c r="E15">
        <v>24.95</v>
      </c>
      <c r="F15">
        <f t="shared" si="2"/>
        <v>0.11883408071748872</v>
      </c>
      <c r="G15">
        <f t="shared" si="3"/>
        <v>0.20216447963627088</v>
      </c>
      <c r="H15">
        <f t="shared" si="4"/>
        <v>4.6133173192531893E-2</v>
      </c>
    </row>
    <row r="16" spans="1:13">
      <c r="A16" s="11">
        <v>37165</v>
      </c>
      <c r="B16">
        <v>40.130000000000003</v>
      </c>
      <c r="C16">
        <f t="shared" si="0"/>
        <v>-3.6725876140182287E-2</v>
      </c>
      <c r="D16">
        <f t="shared" si="1"/>
        <v>-2.5574245734573155E-2</v>
      </c>
      <c r="E16">
        <v>22.3</v>
      </c>
      <c r="F16">
        <f t="shared" si="2"/>
        <v>-0.15176873335869145</v>
      </c>
      <c r="G16">
        <f t="shared" si="3"/>
        <v>-6.8438334439909279E-2</v>
      </c>
      <c r="H16">
        <f t="shared" si="4"/>
        <v>1.7502587826311409E-3</v>
      </c>
    </row>
    <row r="17" spans="1:9">
      <c r="A17" s="11">
        <v>37138</v>
      </c>
      <c r="B17">
        <v>41.66</v>
      </c>
      <c r="C17">
        <f t="shared" si="0"/>
        <v>-0.21647545608425814</v>
      </c>
      <c r="D17">
        <f t="shared" si="1"/>
        <v>-0.20532382567864901</v>
      </c>
      <c r="E17">
        <v>26.29</v>
      </c>
      <c r="F17">
        <f t="shared" si="2"/>
        <v>5.2441953562850231E-2</v>
      </c>
      <c r="G17">
        <f t="shared" si="3"/>
        <v>0.13577235248163241</v>
      </c>
      <c r="H17">
        <f t="shared" si="4"/>
        <v>-2.7877298832918781E-2</v>
      </c>
    </row>
    <row r="18" spans="1:9">
      <c r="A18" s="11">
        <v>37104</v>
      </c>
      <c r="B18">
        <v>53.17</v>
      </c>
      <c r="C18">
        <f t="shared" si="0"/>
        <v>-0.13234334203655351</v>
      </c>
      <c r="D18">
        <f t="shared" si="1"/>
        <v>-0.12119171163094439</v>
      </c>
      <c r="E18">
        <v>24.98</v>
      </c>
      <c r="F18">
        <f t="shared" si="2"/>
        <v>-3.6265432098765482E-2</v>
      </c>
      <c r="G18">
        <f t="shared" si="3"/>
        <v>4.7064966820016693E-2</v>
      </c>
      <c r="H18">
        <f t="shared" si="4"/>
        <v>-5.7038838867714287E-3</v>
      </c>
    </row>
    <row r="19" spans="1:9">
      <c r="A19" s="11">
        <v>37074</v>
      </c>
      <c r="B19">
        <v>61.28</v>
      </c>
      <c r="C19">
        <f t="shared" si="0"/>
        <v>-1.1612903225806433E-2</v>
      </c>
      <c r="D19">
        <f t="shared" si="1"/>
        <v>-4.6127282019730285E-4</v>
      </c>
      <c r="E19">
        <v>25.92</v>
      </c>
      <c r="F19">
        <f t="shared" si="2"/>
        <v>7.3291925465838639E-2</v>
      </c>
      <c r="G19">
        <f t="shared" si="3"/>
        <v>0.15662232438462081</v>
      </c>
      <c r="H19">
        <f t="shared" si="4"/>
        <v>-7.2245621274750839E-5</v>
      </c>
    </row>
    <row r="20" spans="1:9">
      <c r="A20" s="11">
        <v>37043</v>
      </c>
      <c r="B20">
        <v>62</v>
      </c>
      <c r="C20">
        <f t="shared" si="0"/>
        <v>0.13076782783147914</v>
      </c>
      <c r="D20">
        <f t="shared" si="1"/>
        <v>0.14191945823708826</v>
      </c>
      <c r="E20">
        <v>24.15</v>
      </c>
      <c r="F20">
        <f t="shared" si="2"/>
        <v>9.7727272727272663E-2</v>
      </c>
      <c r="G20">
        <f t="shared" si="3"/>
        <v>0.18105767164605485</v>
      </c>
      <c r="H20">
        <f t="shared" si="4"/>
        <v>2.5695606669676723E-2</v>
      </c>
    </row>
    <row r="21" spans="1:9">
      <c r="A21" s="11">
        <v>37012</v>
      </c>
      <c r="B21">
        <v>54.83</v>
      </c>
      <c r="C21">
        <f t="shared" si="0"/>
        <v>4.7573557508597528E-2</v>
      </c>
      <c r="D21">
        <f t="shared" si="1"/>
        <v>5.872518791420666E-2</v>
      </c>
      <c r="E21">
        <v>22</v>
      </c>
      <c r="F21">
        <f t="shared" si="2"/>
        <v>-0.14163090128755362</v>
      </c>
      <c r="G21">
        <f t="shared" si="3"/>
        <v>-5.8300502368771448E-2</v>
      </c>
      <c r="H21">
        <f t="shared" si="4"/>
        <v>-3.4237079570987538E-3</v>
      </c>
    </row>
    <row r="22" spans="1:9">
      <c r="A22" s="11">
        <v>36983</v>
      </c>
      <c r="B22">
        <v>52.34</v>
      </c>
      <c r="C22">
        <f t="shared" si="0"/>
        <v>5.7160169662694514E-2</v>
      </c>
      <c r="D22">
        <f t="shared" si="1"/>
        <v>6.8311800068303646E-2</v>
      </c>
      <c r="E22">
        <v>25.63</v>
      </c>
      <c r="F22">
        <f t="shared" si="2"/>
        <v>0.34894736842105256</v>
      </c>
      <c r="G22">
        <f t="shared" si="3"/>
        <v>0.43227776733983475</v>
      </c>
      <c r="H22">
        <f t="shared" si="4"/>
        <v>2.952967241649147E-2</v>
      </c>
    </row>
    <row r="23" spans="1:9">
      <c r="A23" s="11">
        <v>36951</v>
      </c>
      <c r="B23">
        <v>49.51</v>
      </c>
      <c r="C23">
        <f t="shared" si="0"/>
        <v>-2.7690494893951367E-2</v>
      </c>
      <c r="D23">
        <f t="shared" si="1"/>
        <v>-1.6538864488342235E-2</v>
      </c>
      <c r="E23">
        <v>19</v>
      </c>
      <c r="F23">
        <f t="shared" si="2"/>
        <v>-0.2454328832406672</v>
      </c>
      <c r="G23">
        <f t="shared" si="3"/>
        <v>-0.16210248432188501</v>
      </c>
      <c r="H23">
        <f t="shared" si="4"/>
        <v>2.6809910214232778E-3</v>
      </c>
    </row>
    <row r="24" spans="1:9">
      <c r="A24" s="11">
        <v>36923</v>
      </c>
      <c r="B24">
        <v>50.92</v>
      </c>
      <c r="C24">
        <f t="shared" si="0"/>
        <v>1.9677292404565411E-3</v>
      </c>
      <c r="D24">
        <f t="shared" si="1"/>
        <v>1.3119359646065672E-2</v>
      </c>
      <c r="E24">
        <v>25.18</v>
      </c>
      <c r="F24">
        <f t="shared" si="2"/>
        <v>-0.17442622950819672</v>
      </c>
      <c r="G24">
        <f t="shared" si="3"/>
        <v>-9.1095830589414548E-2</v>
      </c>
      <c r="H24">
        <f t="shared" si="4"/>
        <v>-1.1951189637596001E-3</v>
      </c>
    </row>
    <row r="25" spans="1:9">
      <c r="A25" s="11">
        <v>36893</v>
      </c>
      <c r="B25">
        <v>50.82</v>
      </c>
      <c r="C25">
        <f t="shared" si="0"/>
        <v>5.4138145612943361E-2</v>
      </c>
      <c r="D25">
        <f t="shared" si="1"/>
        <v>6.5289776018552487E-2</v>
      </c>
      <c r="E25">
        <v>30.5</v>
      </c>
      <c r="F25">
        <f t="shared" si="2"/>
        <v>0.49217221135029343</v>
      </c>
      <c r="G25">
        <f t="shared" si="3"/>
        <v>0.57550261026907557</v>
      </c>
      <c r="H25">
        <f t="shared" si="4"/>
        <v>3.7574436522560248E-2</v>
      </c>
    </row>
    <row r="26" spans="1:9">
      <c r="A26" s="11">
        <v>36861</v>
      </c>
      <c r="B26">
        <v>48.21</v>
      </c>
      <c r="C26">
        <f t="shared" si="0"/>
        <v>2.9028815368196358E-2</v>
      </c>
      <c r="D26">
        <f t="shared" si="1"/>
        <v>4.0180445773805487E-2</v>
      </c>
      <c r="E26">
        <v>20.440000000000001</v>
      </c>
      <c r="F26">
        <f t="shared" si="2"/>
        <v>-9.9162626707800794E-2</v>
      </c>
      <c r="G26">
        <f t="shared" si="3"/>
        <v>-1.5832227789018619E-2</v>
      </c>
      <c r="H26">
        <f t="shared" si="4"/>
        <v>-6.3614597015519898E-4</v>
      </c>
    </row>
    <row r="27" spans="1:9">
      <c r="A27" s="11">
        <v>36831</v>
      </c>
      <c r="B27">
        <v>46.85</v>
      </c>
      <c r="C27">
        <f t="shared" si="0"/>
        <v>-0.19598421142955211</v>
      </c>
      <c r="D27">
        <f t="shared" si="1"/>
        <v>-0.18483258102394298</v>
      </c>
      <c r="E27">
        <v>22.69</v>
      </c>
      <c r="F27">
        <f t="shared" si="2"/>
        <v>-0.40477439664218251</v>
      </c>
      <c r="G27">
        <f t="shared" si="3"/>
        <v>-0.32144399772340032</v>
      </c>
      <c r="H27">
        <f t="shared" si="4"/>
        <v>5.9413323753870532E-2</v>
      </c>
    </row>
    <row r="28" spans="1:9">
      <c r="A28" s="11">
        <v>36801</v>
      </c>
      <c r="B28">
        <v>58.27</v>
      </c>
      <c r="C28" t="s">
        <v>67</v>
      </c>
      <c r="E28">
        <v>38.119999999999997</v>
      </c>
      <c r="F28" t="s">
        <v>67</v>
      </c>
    </row>
    <row r="29" spans="1:9">
      <c r="B29" s="2" t="s">
        <v>77</v>
      </c>
      <c r="C29">
        <f>SUM(C5:C27)/23</f>
        <v>-1.1151630405609131E-2</v>
      </c>
      <c r="E29" s="2" t="s">
        <v>77</v>
      </c>
      <c r="F29">
        <f>SUM(F5:F27)/23</f>
        <v>-8.3330398918782175E-2</v>
      </c>
      <c r="G29" s="12" t="s">
        <v>89</v>
      </c>
      <c r="H29">
        <f>SUM(H5:H27)/23</f>
        <v>1.3412584766907487E-2</v>
      </c>
      <c r="I29" s="2" t="s">
        <v>90</v>
      </c>
    </row>
    <row r="30" spans="1:9">
      <c r="G30" s="2" t="s">
        <v>91</v>
      </c>
      <c r="H30">
        <f>'[1]Standard Deviation of Returns'!G10</f>
        <v>1.2060595701261263E-2</v>
      </c>
    </row>
    <row r="31" spans="1:9" ht="15.75">
      <c r="A31" s="10"/>
      <c r="G31" s="2" t="s">
        <v>92</v>
      </c>
      <c r="H31">
        <f>'[1]Standard Deviation of Returns'!G38</f>
        <v>6.3410123637947832E-2</v>
      </c>
    </row>
    <row r="32" spans="1:9">
      <c r="G32" s="2" t="s">
        <v>93</v>
      </c>
      <c r="H32">
        <f>'[1]Standard Deviation of Returns'!G11</f>
        <v>0.10982074349257186</v>
      </c>
    </row>
    <row r="33" spans="1:9">
      <c r="A33" s="11"/>
      <c r="F33" s="1"/>
      <c r="G33" s="2" t="s">
        <v>94</v>
      </c>
      <c r="H33">
        <f>'[1]Standard Deviation of Returns'!G39</f>
        <v>0.25181366848911885</v>
      </c>
    </row>
    <row r="34" spans="1:9">
      <c r="A34" s="11"/>
      <c r="F34" s="1"/>
      <c r="G34" s="2" t="s">
        <v>95</v>
      </c>
      <c r="H34">
        <f>H29/(H32*H33)</f>
        <v>0.48500788605363132</v>
      </c>
      <c r="I34" s="2" t="s">
        <v>96</v>
      </c>
    </row>
    <row r="35" spans="1:9">
      <c r="A35" s="11"/>
      <c r="F35" s="1"/>
      <c r="H35">
        <f>H34^2</f>
        <v>0.23523264953421222</v>
      </c>
      <c r="I35" s="2" t="s">
        <v>97</v>
      </c>
    </row>
    <row r="36" spans="1:9">
      <c r="A36" s="11"/>
      <c r="F36" s="1"/>
    </row>
    <row r="37" spans="1:9">
      <c r="A37" s="11"/>
      <c r="F37" s="1"/>
    </row>
    <row r="38" spans="1:9">
      <c r="A38" s="11"/>
      <c r="F38" s="1"/>
    </row>
    <row r="39" spans="1:9">
      <c r="A39" s="11"/>
      <c r="F39" s="1"/>
    </row>
    <row r="40" spans="1:9">
      <c r="A40" s="11"/>
      <c r="F40" s="1"/>
    </row>
    <row r="41" spans="1:9">
      <c r="A41" s="11"/>
    </row>
    <row r="42" spans="1:9">
      <c r="A42" s="11"/>
    </row>
    <row r="43" spans="1:9">
      <c r="A43" s="11"/>
    </row>
    <row r="44" spans="1:9">
      <c r="A44" s="11"/>
    </row>
    <row r="45" spans="1:9">
      <c r="A45" s="11"/>
    </row>
    <row r="46" spans="1:9">
      <c r="A46" s="11"/>
    </row>
    <row r="47" spans="1:9">
      <c r="A47" s="11"/>
    </row>
    <row r="48" spans="1:9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56"/>
  <sheetViews>
    <sheetView topLeftCell="C1" workbookViewId="0">
      <selection activeCell="B3" sqref="B3"/>
    </sheetView>
  </sheetViews>
  <sheetFormatPr defaultRowHeight="12.75"/>
  <cols>
    <col min="1" max="1" width="7.42578125" customWidth="1"/>
    <col min="2" max="2" width="5.5703125" customWidth="1"/>
    <col min="4" max="4" width="7" customWidth="1"/>
    <col min="6" max="6" width="6" customWidth="1"/>
    <col min="7" max="7" width="4.7109375" customWidth="1"/>
  </cols>
  <sheetData>
    <row r="1" spans="1:8" ht="18">
      <c r="A1" s="3" t="s">
        <v>143</v>
      </c>
    </row>
    <row r="2" spans="1:8">
      <c r="B2" s="1" t="s">
        <v>144</v>
      </c>
    </row>
    <row r="3" spans="1:8">
      <c r="A3" s="2" t="s">
        <v>8</v>
      </c>
      <c r="B3" s="13">
        <v>7.0000000000000007E-2</v>
      </c>
      <c r="C3" s="2" t="s">
        <v>11</v>
      </c>
      <c r="D3" s="13">
        <v>0.2</v>
      </c>
      <c r="E3" s="2" t="s">
        <v>13</v>
      </c>
      <c r="F3" s="13">
        <v>-0.06</v>
      </c>
      <c r="G3" s="2" t="s">
        <v>14</v>
      </c>
      <c r="H3" s="13">
        <v>0.03</v>
      </c>
    </row>
    <row r="4" spans="1:8">
      <c r="A4" s="2" t="s">
        <v>9</v>
      </c>
      <c r="B4" s="13">
        <v>0.11</v>
      </c>
      <c r="C4" s="2" t="s">
        <v>12</v>
      </c>
      <c r="D4" s="13">
        <v>0.6</v>
      </c>
    </row>
    <row r="6" spans="1:8" ht="15.75">
      <c r="A6" s="20" t="s">
        <v>145</v>
      </c>
      <c r="B6" s="20" t="s">
        <v>146</v>
      </c>
      <c r="C6" s="21" t="s">
        <v>147</v>
      </c>
      <c r="D6" s="20" t="s">
        <v>148</v>
      </c>
    </row>
    <row r="7" spans="1:8">
      <c r="A7" s="2">
        <v>1</v>
      </c>
      <c r="B7" s="2">
        <f t="shared" ref="B7:B27" si="0">1-A7</f>
        <v>0</v>
      </c>
      <c r="C7" s="2">
        <f t="shared" ref="C7:C27" si="1">(A7^2*D$3^2+B7^2*D$4^2+2*A7*B7*F$3)^0.5</f>
        <v>0.2</v>
      </c>
      <c r="D7" s="2">
        <f t="shared" ref="D7:D27" si="2">A7*B$3+B7*B$4</f>
        <v>7.0000000000000007E-2</v>
      </c>
    </row>
    <row r="8" spans="1:8">
      <c r="A8" s="2">
        <f t="shared" ref="A8:A26" si="3">A7-0.05</f>
        <v>0.95</v>
      </c>
      <c r="B8" s="2">
        <f t="shared" si="0"/>
        <v>5.0000000000000044E-2</v>
      </c>
      <c r="C8" s="2">
        <f t="shared" si="1"/>
        <v>0.17691806012954134</v>
      </c>
      <c r="D8" s="2">
        <f t="shared" si="2"/>
        <v>7.2000000000000008E-2</v>
      </c>
    </row>
    <row r="9" spans="1:8">
      <c r="A9" s="2">
        <f t="shared" si="3"/>
        <v>0.89999999999999991</v>
      </c>
      <c r="B9" s="2">
        <f t="shared" si="0"/>
        <v>0.10000000000000009</v>
      </c>
      <c r="C9" s="2">
        <f t="shared" si="1"/>
        <v>0.15874507866387544</v>
      </c>
      <c r="D9" s="2">
        <f t="shared" si="2"/>
        <v>7.400000000000001E-2</v>
      </c>
    </row>
    <row r="10" spans="1:8">
      <c r="A10" s="2">
        <f t="shared" si="3"/>
        <v>0.84999999999999987</v>
      </c>
      <c r="B10" s="2">
        <f t="shared" si="0"/>
        <v>0.15000000000000013</v>
      </c>
      <c r="C10" s="2">
        <f t="shared" si="1"/>
        <v>0.14730919862656236</v>
      </c>
      <c r="D10" s="2">
        <f t="shared" si="2"/>
        <v>7.6000000000000012E-2</v>
      </c>
    </row>
    <row r="11" spans="1:8">
      <c r="A11" s="2">
        <f t="shared" si="3"/>
        <v>0.79999999999999982</v>
      </c>
      <c r="B11" s="2">
        <f t="shared" si="0"/>
        <v>0.20000000000000018</v>
      </c>
      <c r="C11" s="2">
        <f t="shared" si="1"/>
        <v>0.14422205101855959</v>
      </c>
      <c r="D11" s="2">
        <f t="shared" si="2"/>
        <v>7.8000000000000014E-2</v>
      </c>
    </row>
    <row r="12" spans="1:8">
      <c r="A12" s="2">
        <f t="shared" si="3"/>
        <v>0.74999999999999978</v>
      </c>
      <c r="B12" s="2">
        <f t="shared" si="0"/>
        <v>0.25000000000000022</v>
      </c>
      <c r="C12" s="2">
        <f t="shared" si="1"/>
        <v>0.15000000000000008</v>
      </c>
      <c r="D12" s="2">
        <f t="shared" si="2"/>
        <v>8.0000000000000016E-2</v>
      </c>
    </row>
    <row r="13" spans="1:8">
      <c r="A13" s="2">
        <f t="shared" si="3"/>
        <v>0.69999999999999973</v>
      </c>
      <c r="B13" s="2">
        <f t="shared" si="0"/>
        <v>0.30000000000000027</v>
      </c>
      <c r="C13" s="2">
        <f t="shared" si="1"/>
        <v>0.16370705543744909</v>
      </c>
      <c r="D13" s="2">
        <f t="shared" si="2"/>
        <v>8.2000000000000017E-2</v>
      </c>
      <c r="E13" s="4"/>
      <c r="F13" s="1"/>
    </row>
    <row r="14" spans="1:8">
      <c r="A14" s="2">
        <f t="shared" si="3"/>
        <v>0.64999999999999969</v>
      </c>
      <c r="B14" s="2">
        <f t="shared" si="0"/>
        <v>0.35000000000000031</v>
      </c>
      <c r="C14" s="2">
        <f t="shared" si="1"/>
        <v>0.18357559750685837</v>
      </c>
      <c r="D14" s="2">
        <f t="shared" si="2"/>
        <v>8.4000000000000019E-2</v>
      </c>
      <c r="E14" s="4"/>
    </row>
    <row r="15" spans="1:8">
      <c r="A15" s="2">
        <f t="shared" si="3"/>
        <v>0.59999999999999964</v>
      </c>
      <c r="B15" s="2">
        <f t="shared" si="0"/>
        <v>0.40000000000000036</v>
      </c>
      <c r="C15" s="2">
        <f t="shared" si="1"/>
        <v>0.20784609690826544</v>
      </c>
      <c r="D15" s="2">
        <f t="shared" si="2"/>
        <v>8.6000000000000021E-2</v>
      </c>
    </row>
    <row r="16" spans="1:8">
      <c r="A16" s="2">
        <f t="shared" si="3"/>
        <v>0.5499999999999996</v>
      </c>
      <c r="B16" s="2">
        <f t="shared" si="0"/>
        <v>0.4500000000000004</v>
      </c>
      <c r="C16" s="2">
        <f t="shared" si="1"/>
        <v>0.23515952032609716</v>
      </c>
      <c r="D16" s="2">
        <f t="shared" si="2"/>
        <v>8.8000000000000023E-2</v>
      </c>
    </row>
    <row r="17" spans="1:8">
      <c r="A17" s="2">
        <f t="shared" si="3"/>
        <v>0.49999999999999961</v>
      </c>
      <c r="B17" s="2">
        <f t="shared" si="0"/>
        <v>0.50000000000000044</v>
      </c>
      <c r="C17" s="2">
        <f t="shared" si="1"/>
        <v>0.26457513110645936</v>
      </c>
      <c r="D17" s="2">
        <f t="shared" si="2"/>
        <v>9.0000000000000024E-2</v>
      </c>
    </row>
    <row r="18" spans="1:8">
      <c r="A18" s="2">
        <f t="shared" si="3"/>
        <v>0.44999999999999962</v>
      </c>
      <c r="B18" s="2">
        <f t="shared" si="0"/>
        <v>0.55000000000000038</v>
      </c>
      <c r="C18" s="2">
        <f t="shared" si="1"/>
        <v>0.29546573405388338</v>
      </c>
      <c r="D18" s="2">
        <f t="shared" si="2"/>
        <v>9.2000000000000026E-2</v>
      </c>
    </row>
    <row r="19" spans="1:8">
      <c r="A19" s="2">
        <f t="shared" si="3"/>
        <v>0.39999999999999963</v>
      </c>
      <c r="B19" s="2">
        <f t="shared" si="0"/>
        <v>0.60000000000000031</v>
      </c>
      <c r="C19" s="2">
        <f t="shared" si="1"/>
        <v>0.32741411087489819</v>
      </c>
      <c r="D19" s="2">
        <f t="shared" si="2"/>
        <v>9.4E-2</v>
      </c>
      <c r="F19" s="1"/>
    </row>
    <row r="20" spans="1:8">
      <c r="A20" s="2">
        <f t="shared" si="3"/>
        <v>0.34999999999999964</v>
      </c>
      <c r="B20" s="2">
        <f t="shared" si="0"/>
        <v>0.65000000000000036</v>
      </c>
      <c r="C20" s="2">
        <f t="shared" si="1"/>
        <v>0.36013886210738238</v>
      </c>
      <c r="D20" s="2">
        <f t="shared" si="2"/>
        <v>9.6000000000000016E-2</v>
      </c>
      <c r="F20" s="1"/>
    </row>
    <row r="21" spans="1:8">
      <c r="A21" s="2">
        <f t="shared" si="3"/>
        <v>0.29999999999999966</v>
      </c>
      <c r="B21" s="2">
        <f t="shared" si="0"/>
        <v>0.7000000000000004</v>
      </c>
      <c r="C21" s="2">
        <f t="shared" si="1"/>
        <v>0.39344631145812031</v>
      </c>
      <c r="D21" s="2">
        <f t="shared" si="2"/>
        <v>9.8000000000000018E-2</v>
      </c>
      <c r="F21" s="1"/>
    </row>
    <row r="22" spans="1:8">
      <c r="A22" s="2">
        <f t="shared" si="3"/>
        <v>0.24999999999999967</v>
      </c>
      <c r="B22" s="2">
        <f t="shared" si="0"/>
        <v>0.75000000000000033</v>
      </c>
      <c r="C22" s="2">
        <f t="shared" si="1"/>
        <v>0.42720018726587677</v>
      </c>
      <c r="D22" s="2">
        <f t="shared" si="2"/>
        <v>0.1</v>
      </c>
    </row>
    <row r="23" spans="1:8">
      <c r="A23" s="2">
        <f t="shared" si="3"/>
        <v>0.19999999999999968</v>
      </c>
      <c r="B23" s="2">
        <f t="shared" si="0"/>
        <v>0.80000000000000027</v>
      </c>
      <c r="C23" s="2">
        <f t="shared" si="1"/>
        <v>0.46130250378683202</v>
      </c>
      <c r="D23" s="2">
        <f t="shared" si="2"/>
        <v>0.10200000000000002</v>
      </c>
    </row>
    <row r="24" spans="1:8">
      <c r="A24" s="2">
        <f t="shared" si="3"/>
        <v>0.14999999999999969</v>
      </c>
      <c r="B24" s="2">
        <f t="shared" si="0"/>
        <v>0.85000000000000031</v>
      </c>
      <c r="C24" s="2">
        <f t="shared" si="1"/>
        <v>0.49568134925574936</v>
      </c>
      <c r="D24" s="2">
        <f t="shared" si="2"/>
        <v>0.10400000000000002</v>
      </c>
    </row>
    <row r="25" spans="1:8">
      <c r="A25" s="2">
        <f t="shared" si="3"/>
        <v>9.9999999999999686E-2</v>
      </c>
      <c r="B25" s="2">
        <f t="shared" si="0"/>
        <v>0.90000000000000036</v>
      </c>
      <c r="C25" s="2">
        <f t="shared" si="1"/>
        <v>0.53028294334251425</v>
      </c>
      <c r="D25" s="2">
        <f t="shared" si="2"/>
        <v>0.10600000000000002</v>
      </c>
      <c r="F25" s="13"/>
      <c r="G25" s="13"/>
      <c r="H25" s="13"/>
    </row>
    <row r="26" spans="1:8">
      <c r="A26" s="2">
        <f t="shared" si="3"/>
        <v>4.9999999999999684E-2</v>
      </c>
      <c r="B26" s="2">
        <f t="shared" si="0"/>
        <v>0.95000000000000029</v>
      </c>
      <c r="C26" s="2">
        <f t="shared" si="1"/>
        <v>0.56506636778346686</v>
      </c>
      <c r="D26" s="2">
        <f t="shared" si="2"/>
        <v>0.10800000000000001</v>
      </c>
    </row>
    <row r="27" spans="1:8">
      <c r="A27" s="2">
        <v>0</v>
      </c>
      <c r="B27" s="2">
        <f t="shared" si="0"/>
        <v>1</v>
      </c>
      <c r="C27" s="2">
        <f t="shared" si="1"/>
        <v>0.6</v>
      </c>
      <c r="D27" s="2">
        <f t="shared" si="2"/>
        <v>0.11</v>
      </c>
    </row>
    <row r="28" spans="1:8">
      <c r="A28" s="13"/>
      <c r="B28" s="13"/>
      <c r="C28" s="13"/>
      <c r="D28" s="13"/>
      <c r="E28" s="13"/>
      <c r="F28" s="13"/>
      <c r="G28" s="13"/>
      <c r="H28" s="13"/>
    </row>
    <row r="29" spans="1:8" ht="15.75">
      <c r="A29" s="22"/>
      <c r="B29" s="13"/>
      <c r="C29" s="13"/>
      <c r="D29" s="13"/>
      <c r="E29" s="13"/>
      <c r="F29" s="13"/>
      <c r="G29" s="13"/>
      <c r="H29" s="13"/>
    </row>
    <row r="30" spans="1:8">
      <c r="A30" s="13"/>
      <c r="B30" s="23"/>
      <c r="C30" s="13"/>
      <c r="D30" s="13"/>
      <c r="E30" s="13"/>
      <c r="F30" s="13"/>
      <c r="G30" s="13"/>
      <c r="H30" s="13"/>
    </row>
    <row r="31" spans="1:8">
      <c r="A31" s="13"/>
      <c r="B31" s="13"/>
      <c r="C31" s="13"/>
      <c r="D31" s="13"/>
      <c r="E31" s="13"/>
      <c r="F31" s="13"/>
      <c r="G31" s="13"/>
      <c r="H31" s="13"/>
    </row>
    <row r="32" spans="1:8">
      <c r="A32" s="13"/>
      <c r="B32" s="13"/>
      <c r="C32" s="13"/>
      <c r="D32" s="13"/>
      <c r="E32" s="13"/>
      <c r="F32" s="13"/>
      <c r="G32" s="13"/>
      <c r="H32" s="13"/>
    </row>
    <row r="33" spans="1:8">
      <c r="A33" s="13"/>
      <c r="B33" s="13"/>
      <c r="C33" s="13"/>
      <c r="D33" s="13"/>
      <c r="E33" s="13"/>
      <c r="F33" s="13"/>
      <c r="G33" s="13"/>
      <c r="H33" s="13"/>
    </row>
    <row r="34" spans="1:8" ht="15.75">
      <c r="A34" s="24"/>
      <c r="B34" s="24"/>
      <c r="C34" s="23"/>
      <c r="D34" s="25"/>
      <c r="E34" s="24"/>
      <c r="F34" s="13"/>
      <c r="G34" s="13"/>
      <c r="H34" s="13"/>
    </row>
    <row r="35" spans="1:8">
      <c r="A35" s="13"/>
      <c r="B35" s="13"/>
      <c r="C35" s="13"/>
      <c r="D35" s="13"/>
      <c r="E35" s="13"/>
      <c r="F35" s="13"/>
      <c r="G35" s="13"/>
      <c r="H35" s="13"/>
    </row>
    <row r="36" spans="1:8">
      <c r="A36" s="13"/>
      <c r="B36" s="13"/>
      <c r="C36" s="13"/>
      <c r="D36" s="13"/>
      <c r="E36" s="13"/>
      <c r="F36" s="13"/>
      <c r="G36" s="13"/>
      <c r="H36" s="13"/>
    </row>
    <row r="37" spans="1:8">
      <c r="A37" s="13"/>
      <c r="B37" s="13"/>
      <c r="C37" s="13"/>
      <c r="D37" s="13"/>
      <c r="E37" s="13"/>
      <c r="F37" s="13"/>
      <c r="G37" s="13"/>
      <c r="H37" s="13"/>
    </row>
    <row r="38" spans="1:8">
      <c r="A38" s="13"/>
      <c r="B38" s="13"/>
      <c r="C38" s="13"/>
      <c r="D38" s="13"/>
      <c r="E38" s="13"/>
      <c r="F38" s="13"/>
      <c r="G38" s="13"/>
      <c r="H38" s="13"/>
    </row>
    <row r="39" spans="1:8">
      <c r="A39" s="13"/>
      <c r="B39" s="13"/>
      <c r="C39" s="13"/>
      <c r="D39" s="13"/>
      <c r="E39" s="13"/>
      <c r="F39" s="13"/>
      <c r="G39" s="13"/>
      <c r="H39" s="13"/>
    </row>
    <row r="40" spans="1:8">
      <c r="A40" s="13"/>
      <c r="B40" s="13"/>
      <c r="C40" s="13"/>
      <c r="D40" s="13"/>
      <c r="E40" s="13"/>
      <c r="F40" s="13"/>
      <c r="G40" s="13"/>
      <c r="H40" s="13"/>
    </row>
    <row r="41" spans="1:8">
      <c r="A41" s="13"/>
      <c r="B41" s="13"/>
      <c r="C41" s="13"/>
      <c r="D41" s="13"/>
      <c r="E41" s="13"/>
      <c r="F41" s="23"/>
      <c r="G41" s="13"/>
      <c r="H41" s="13"/>
    </row>
    <row r="42" spans="1:8">
      <c r="A42" s="13"/>
      <c r="B42" s="13"/>
      <c r="C42" s="13"/>
      <c r="D42" s="13"/>
      <c r="E42" s="13"/>
      <c r="F42" s="13"/>
      <c r="G42" s="13"/>
      <c r="H42" s="13"/>
    </row>
    <row r="43" spans="1:8">
      <c r="A43" s="13"/>
      <c r="B43" s="13"/>
      <c r="C43" s="13"/>
      <c r="D43" s="13"/>
      <c r="E43" s="13"/>
      <c r="F43" s="13"/>
      <c r="G43" s="13"/>
      <c r="H43" s="13"/>
    </row>
    <row r="44" spans="1:8">
      <c r="A44" s="13"/>
      <c r="B44" s="13"/>
      <c r="C44" s="13"/>
      <c r="D44" s="13"/>
      <c r="E44" s="13"/>
      <c r="F44" s="13"/>
      <c r="G44" s="13"/>
      <c r="H44" s="13"/>
    </row>
    <row r="45" spans="1:8">
      <c r="A45" s="13"/>
      <c r="B45" s="13"/>
      <c r="C45" s="13"/>
      <c r="D45" s="13"/>
      <c r="E45" s="13"/>
      <c r="F45" s="13"/>
      <c r="G45" s="13"/>
      <c r="H45" s="13"/>
    </row>
    <row r="46" spans="1:8">
      <c r="A46" s="13"/>
      <c r="B46" s="13"/>
      <c r="C46" s="13"/>
      <c r="D46" s="13"/>
      <c r="E46" s="13"/>
      <c r="F46" s="13"/>
      <c r="G46" s="13"/>
      <c r="H46" s="13"/>
    </row>
    <row r="47" spans="1:8">
      <c r="A47" s="13"/>
      <c r="B47" s="13"/>
      <c r="C47" s="13"/>
      <c r="D47" s="13"/>
      <c r="E47" s="13"/>
      <c r="F47" s="23"/>
      <c r="G47" s="13"/>
      <c r="H47" s="13"/>
    </row>
    <row r="48" spans="1:8">
      <c r="A48" s="13"/>
      <c r="B48" s="13"/>
      <c r="C48" s="13"/>
      <c r="D48" s="13"/>
      <c r="E48" s="13"/>
      <c r="F48" s="23"/>
      <c r="G48" s="13"/>
      <c r="H48" s="13"/>
    </row>
    <row r="49" spans="1:8">
      <c r="A49" s="13"/>
      <c r="B49" s="13"/>
      <c r="C49" s="13"/>
      <c r="D49" s="13"/>
      <c r="E49" s="13"/>
      <c r="F49" s="23"/>
      <c r="G49" s="13"/>
      <c r="H49" s="13"/>
    </row>
    <row r="50" spans="1:8">
      <c r="A50" s="13"/>
      <c r="B50" s="13"/>
      <c r="C50" s="13"/>
      <c r="D50" s="13"/>
      <c r="E50" s="13"/>
      <c r="F50" s="13"/>
      <c r="G50" s="13"/>
      <c r="H50" s="13"/>
    </row>
    <row r="51" spans="1:8">
      <c r="A51" s="13"/>
      <c r="B51" s="13"/>
      <c r="C51" s="13"/>
      <c r="D51" s="13"/>
      <c r="E51" s="13"/>
      <c r="F51" s="13"/>
      <c r="G51" s="13"/>
      <c r="H51" s="13"/>
    </row>
    <row r="52" spans="1:8">
      <c r="A52" s="13"/>
      <c r="B52" s="13"/>
      <c r="C52" s="13"/>
      <c r="D52" s="13"/>
      <c r="E52" s="13"/>
      <c r="F52" s="13"/>
      <c r="G52" s="13"/>
      <c r="H52" s="13"/>
    </row>
    <row r="53" spans="1:8">
      <c r="A53" s="13"/>
      <c r="B53" s="13"/>
      <c r="C53" s="13"/>
      <c r="D53" s="13"/>
      <c r="E53" s="13"/>
      <c r="F53" s="13"/>
      <c r="G53" s="13"/>
      <c r="H53" s="13"/>
    </row>
    <row r="54" spans="1:8">
      <c r="A54" s="13"/>
      <c r="B54" s="13"/>
      <c r="C54" s="13"/>
      <c r="D54" s="13"/>
      <c r="E54" s="13"/>
      <c r="F54" s="13"/>
      <c r="G54" s="13"/>
      <c r="H54" s="13"/>
    </row>
    <row r="55" spans="1:8">
      <c r="A55" s="13"/>
      <c r="B55" s="13"/>
      <c r="C55" s="13"/>
      <c r="D55" s="13"/>
      <c r="E55" s="13"/>
      <c r="F55" s="13"/>
      <c r="G55" s="13"/>
      <c r="H55" s="13"/>
    </row>
    <row r="56" spans="1:8">
      <c r="A56" s="13"/>
      <c r="B56" s="13"/>
      <c r="C56" s="13"/>
      <c r="D56" s="13"/>
      <c r="E56" s="13"/>
      <c r="F56" s="13"/>
      <c r="G56" s="13"/>
      <c r="H56" s="1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A9" sqref="A9"/>
    </sheetView>
  </sheetViews>
  <sheetFormatPr defaultRowHeight="12.75"/>
  <cols>
    <col min="1" max="1" width="13.85546875" customWidth="1"/>
    <col min="2" max="2" width="13.85546875" hidden="1" customWidth="1"/>
  </cols>
  <sheetData>
    <row r="1" spans="1:4" ht="18">
      <c r="A1" s="3" t="s">
        <v>179</v>
      </c>
      <c r="B1" s="3"/>
    </row>
    <row r="2" spans="1:4">
      <c r="A2" t="s">
        <v>149</v>
      </c>
    </row>
    <row r="3" spans="1:4">
      <c r="A3" t="s">
        <v>150</v>
      </c>
    </row>
    <row r="4" spans="1:4">
      <c r="A4" t="s">
        <v>151</v>
      </c>
    </row>
    <row r="5" spans="1:4">
      <c r="A5" t="s">
        <v>152</v>
      </c>
    </row>
    <row r="6" spans="1:4">
      <c r="A6" t="s">
        <v>153</v>
      </c>
    </row>
    <row r="7" spans="1:4">
      <c r="A7" t="s">
        <v>154</v>
      </c>
    </row>
    <row r="8" spans="1:4">
      <c r="A8" t="s">
        <v>155</v>
      </c>
    </row>
    <row r="10" spans="1:4">
      <c r="A10" s="1" t="s">
        <v>156</v>
      </c>
      <c r="B10" s="1"/>
    </row>
    <row r="11" spans="1:4">
      <c r="A11" t="s">
        <v>157</v>
      </c>
      <c r="C11" s="2">
        <v>0.4</v>
      </c>
    </row>
    <row r="12" spans="1:4">
      <c r="A12" t="s">
        <v>158</v>
      </c>
      <c r="C12" s="2">
        <v>0.4</v>
      </c>
    </row>
    <row r="14" spans="1:4">
      <c r="A14" s="1" t="s">
        <v>159</v>
      </c>
      <c r="B14" s="1"/>
    </row>
    <row r="15" spans="1:4">
      <c r="A15" s="1" t="s">
        <v>160</v>
      </c>
      <c r="B15" s="1"/>
      <c r="C15" s="1" t="s">
        <v>161</v>
      </c>
      <c r="D15" s="1" t="s">
        <v>162</v>
      </c>
    </row>
    <row r="16" spans="1:4">
      <c r="A16" t="s">
        <v>163</v>
      </c>
      <c r="B16">
        <v>1</v>
      </c>
      <c r="C16">
        <f>C11</f>
        <v>0.4</v>
      </c>
      <c r="D16">
        <f>(C$16-C16)/(C$16-C$28)</f>
        <v>0</v>
      </c>
    </row>
    <row r="17" spans="1:4">
      <c r="A17" t="s">
        <v>164</v>
      </c>
      <c r="B17">
        <v>2</v>
      </c>
      <c r="C17">
        <f>(0.5*C$11^2+2*C$11^2*0.25*C$12)^0.5</f>
        <v>0.33466401061363027</v>
      </c>
      <c r="D17">
        <f t="shared" ref="D17:D28" si="0">(C$16-C17)/(C$16-C$28)*100</f>
        <v>44.440879616518039</v>
      </c>
    </row>
    <row r="18" spans="1:4">
      <c r="A18" t="s">
        <v>165</v>
      </c>
      <c r="B18">
        <v>3</v>
      </c>
      <c r="C18">
        <f>(0.333333333333*C$11^2+6*C$11^2*0.1111111111*C$12)^0.5</f>
        <v>0.30983866768962204</v>
      </c>
      <c r="D18">
        <f t="shared" si="0"/>
        <v>61.326826958654522</v>
      </c>
    </row>
    <row r="19" spans="1:4">
      <c r="A19" t="s">
        <v>166</v>
      </c>
      <c r="B19">
        <v>4</v>
      </c>
      <c r="C19">
        <f>(0.25*C$11^2+12*C$11^2*0.0625*C$12)^0.5</f>
        <v>0.29664793948382656</v>
      </c>
      <c r="D19">
        <f t="shared" si="0"/>
        <v>70.299026962872404</v>
      </c>
    </row>
    <row r="20" spans="1:4">
      <c r="A20" t="s">
        <v>167</v>
      </c>
      <c r="B20">
        <v>5</v>
      </c>
      <c r="C20">
        <f>(0.2*C$11^2+20*C$11^2*0.04*C$12)^0.5</f>
        <v>0.28844410203711918</v>
      </c>
      <c r="D20">
        <f t="shared" si="0"/>
        <v>75.87919427627449</v>
      </c>
    </row>
    <row r="21" spans="1:4">
      <c r="A21" t="s">
        <v>168</v>
      </c>
      <c r="B21">
        <v>10</v>
      </c>
      <c r="C21">
        <f>(0.1*C$11^2+90*C$11^2*0.01*C$12)^0.5</f>
        <v>0.27129319932501073</v>
      </c>
      <c r="D21">
        <f t="shared" si="0"/>
        <v>87.545064953399844</v>
      </c>
    </row>
    <row r="22" spans="1:4">
      <c r="A22" t="s">
        <v>169</v>
      </c>
      <c r="B22">
        <v>20</v>
      </c>
      <c r="C22">
        <f>(1/20*C11^2+(20^2-20)*1/20^2*C11^2*C12)^0.5</f>
        <v>0.26229754097208008</v>
      </c>
      <c r="D22">
        <f t="shared" si="0"/>
        <v>93.663820844120551</v>
      </c>
    </row>
    <row r="23" spans="1:4">
      <c r="A23" t="s">
        <v>170</v>
      </c>
      <c r="B23">
        <v>30</v>
      </c>
      <c r="C23">
        <f>(1/30*C11^2+(30^2-30)*1/30^2*C11^2*C12)^0.5</f>
        <v>0.25922962793631443</v>
      </c>
      <c r="D23">
        <f t="shared" si="0"/>
        <v>95.750584283029312</v>
      </c>
    </row>
    <row r="24" spans="1:4">
      <c r="A24" t="s">
        <v>171</v>
      </c>
      <c r="B24">
        <v>50</v>
      </c>
      <c r="C24">
        <f>(0.02*C$11^2+2450*C$11^2*0.0004*C$12)^0.5</f>
        <v>0.25674890457409943</v>
      </c>
      <c r="D24">
        <f t="shared" si="0"/>
        <v>97.437947240834006</v>
      </c>
    </row>
    <row r="25" spans="1:4">
      <c r="A25" t="s">
        <v>172</v>
      </c>
      <c r="B25">
        <v>100</v>
      </c>
      <c r="C25">
        <f>(0.01*C$11^2+9900*C$11^2*0.0001*C$12)^0.5</f>
        <v>0.25487251715318388</v>
      </c>
      <c r="D25">
        <f t="shared" si="0"/>
        <v>98.714246999512696</v>
      </c>
    </row>
    <row r="26" spans="1:4">
      <c r="A26" t="s">
        <v>173</v>
      </c>
      <c r="B26">
        <v>1000</v>
      </c>
      <c r="C26">
        <f>(0.001*C$11^2+999000*C$11^2*0.000001*C$12)^0.5</f>
        <v>0.25317187837514654</v>
      </c>
      <c r="D26">
        <f t="shared" si="0"/>
        <v>99.871004307632788</v>
      </c>
    </row>
    <row r="27" spans="1:4">
      <c r="A27" t="s">
        <v>174</v>
      </c>
      <c r="B27">
        <v>99999</v>
      </c>
      <c r="C27">
        <f>(1/99999*C11^2+(99999^2-99999)*1/99999^2*C11^2*C12)^0.5</f>
        <v>0.25298411019192513</v>
      </c>
      <c r="D27">
        <f t="shared" si="0"/>
        <v>99.998722328048899</v>
      </c>
    </row>
    <row r="28" spans="1:4">
      <c r="A28" t="s">
        <v>175</v>
      </c>
      <c r="B28">
        <v>9999999</v>
      </c>
      <c r="C28">
        <f>(1/9999999*C11^2+(9999999^2-9999999)*1/9999999^2*C11^2*C12)^0.5</f>
        <v>0.25298223178713752</v>
      </c>
      <c r="D28">
        <f t="shared" si="0"/>
        <v>100</v>
      </c>
    </row>
    <row r="29" spans="1:4">
      <c r="A29" t="s">
        <v>176</v>
      </c>
    </row>
    <row r="30" spans="1:4">
      <c r="A30" s="2">
        <v>6</v>
      </c>
      <c r="B30" s="2"/>
      <c r="C30">
        <f>(1/A30*C11^2+(A30^2-A30)*1/A30^2*C11^2*C12)^0.5</f>
        <v>0.28284271247461906</v>
      </c>
      <c r="D30" s="6" t="s">
        <v>177</v>
      </c>
    </row>
    <row r="31" spans="1:4">
      <c r="C31">
        <f>(C$16-C30)/(C$16-C$28)*100</f>
        <v>79.689202842307154</v>
      </c>
      <c r="D31" s="6" t="s">
        <v>178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A2" sqref="A2"/>
    </sheetView>
  </sheetViews>
  <sheetFormatPr defaultRowHeight="12.75"/>
  <cols>
    <col min="1" max="1" width="7.42578125" customWidth="1"/>
    <col min="2" max="2" width="5.5703125" customWidth="1"/>
    <col min="4" max="4" width="5" customWidth="1"/>
    <col min="6" max="6" width="5" customWidth="1"/>
    <col min="7" max="7" width="4.7109375" customWidth="1"/>
  </cols>
  <sheetData>
    <row r="1" spans="1:8" ht="18">
      <c r="A1" s="3" t="s">
        <v>7</v>
      </c>
    </row>
    <row r="2" spans="1:8">
      <c r="B2" s="1" t="s">
        <v>10</v>
      </c>
    </row>
    <row r="3" spans="1:8">
      <c r="A3" t="s">
        <v>8</v>
      </c>
      <c r="B3" s="2">
        <v>0.13</v>
      </c>
      <c r="C3" t="s">
        <v>11</v>
      </c>
      <c r="D3" s="2">
        <v>0.8</v>
      </c>
      <c r="E3" t="s">
        <v>13</v>
      </c>
      <c r="F3" s="2">
        <v>-0.2</v>
      </c>
      <c r="G3" t="s">
        <v>14</v>
      </c>
      <c r="H3" s="2">
        <v>0.04</v>
      </c>
    </row>
    <row r="4" spans="1:8">
      <c r="A4" t="s">
        <v>9</v>
      </c>
      <c r="B4" s="2">
        <v>7.0000000000000007E-2</v>
      </c>
      <c r="C4" t="s">
        <v>12</v>
      </c>
      <c r="D4" s="2">
        <v>0.3</v>
      </c>
    </row>
    <row r="6" spans="1:8">
      <c r="A6" s="1" t="s">
        <v>15</v>
      </c>
    </row>
    <row r="7" spans="1:8">
      <c r="A7" s="2" t="s">
        <v>16</v>
      </c>
      <c r="B7" s="2"/>
      <c r="C7" s="2"/>
    </row>
    <row r="8" spans="1:8">
      <c r="A8" s="2" t="s">
        <v>17</v>
      </c>
      <c r="B8" s="2"/>
      <c r="C8" s="2"/>
    </row>
    <row r="10" spans="1:8">
      <c r="A10">
        <f>D3^2</f>
        <v>0.64000000000000012</v>
      </c>
      <c r="B10">
        <f>A11</f>
        <v>-0.2</v>
      </c>
      <c r="C10" s="1" t="s">
        <v>31</v>
      </c>
    </row>
    <row r="11" spans="1:8">
      <c r="A11">
        <f>F3</f>
        <v>-0.2</v>
      </c>
      <c r="B11">
        <f>D4^2</f>
        <v>0.09</v>
      </c>
    </row>
    <row r="13" spans="1:8">
      <c r="A13">
        <f t="array" ref="A13:B14">MINVERSE(A10:B11)</f>
        <v>5.1136363636363615</v>
      </c>
      <c r="B13">
        <v>11.363636363636362</v>
      </c>
      <c r="C13">
        <v>0.09</v>
      </c>
      <c r="D13">
        <f t="array" ref="D13:D14">MMULT(A13:B14,C13:C14)</f>
        <v>0.80113636363636331</v>
      </c>
      <c r="E13" s="4" t="s">
        <v>18</v>
      </c>
      <c r="F13" s="1" t="s">
        <v>32</v>
      </c>
    </row>
    <row r="14" spans="1:8">
      <c r="A14">
        <v>11.36363636363636</v>
      </c>
      <c r="B14">
        <v>36.36363636363636</v>
      </c>
      <c r="C14">
        <v>0.03</v>
      </c>
      <c r="D14">
        <v>2.1136363636363633</v>
      </c>
      <c r="E14" s="4" t="s">
        <v>19</v>
      </c>
    </row>
    <row r="16" spans="1:8">
      <c r="A16">
        <f>D13/(D13+D14)</f>
        <v>0.27485380116959057</v>
      </c>
      <c r="B16" s="4" t="s">
        <v>20</v>
      </c>
      <c r="C16" s="1" t="s">
        <v>33</v>
      </c>
    </row>
    <row r="17" spans="1:6">
      <c r="A17">
        <f>D14/(D13+D14)</f>
        <v>0.72514619883040943</v>
      </c>
      <c r="B17" s="4" t="s">
        <v>21</v>
      </c>
    </row>
    <row r="19" spans="1:6">
      <c r="A19" t="s">
        <v>22</v>
      </c>
      <c r="E19">
        <f>A16*B3+A17*B4</f>
        <v>8.6491228070175438E-2</v>
      </c>
      <c r="F19" s="1" t="s">
        <v>34</v>
      </c>
    </row>
    <row r="20" spans="1:6">
      <c r="A20" t="s">
        <v>23</v>
      </c>
      <c r="E20">
        <f>(A10*A16^2+B11*A17^2+2*A16*A16*B10)^0.5</f>
        <v>0.25584377607283459</v>
      </c>
      <c r="F20" s="1" t="s">
        <v>35</v>
      </c>
    </row>
    <row r="21" spans="1:6">
      <c r="A21" t="s">
        <v>24</v>
      </c>
      <c r="E21">
        <f>(E19-H3)/E20</f>
        <v>0.18171725255079152</v>
      </c>
      <c r="F21" s="1" t="s">
        <v>36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57"/>
  <sheetViews>
    <sheetView workbookViewId="0">
      <selection activeCell="F13" sqref="F13"/>
    </sheetView>
  </sheetViews>
  <sheetFormatPr defaultRowHeight="12.75"/>
  <cols>
    <col min="5" max="5" width="14" customWidth="1"/>
  </cols>
  <sheetData>
    <row r="1" spans="1:13" ht="18">
      <c r="A1" s="3" t="s">
        <v>69</v>
      </c>
    </row>
    <row r="2" spans="1:13">
      <c r="A2" s="9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>
      <c r="A3" s="10" t="s">
        <v>52</v>
      </c>
    </row>
    <row r="4" spans="1:13">
      <c r="A4" t="s">
        <v>53</v>
      </c>
      <c r="B4" t="s">
        <v>57</v>
      </c>
      <c r="C4" t="s">
        <v>59</v>
      </c>
      <c r="D4" t="s">
        <v>60</v>
      </c>
      <c r="E4" t="s">
        <v>71</v>
      </c>
    </row>
    <row r="5" spans="1:13">
      <c r="A5" s="11">
        <v>37502</v>
      </c>
      <c r="B5">
        <v>38.9</v>
      </c>
      <c r="C5">
        <f t="shared" ref="C5:C27" si="0">(B5-B6)/B6</f>
        <v>-0.18721270371918097</v>
      </c>
      <c r="D5">
        <f t="shared" ref="D5:D28" si="1">C5+1</f>
        <v>0.81278729628081903</v>
      </c>
      <c r="E5">
        <f t="shared" ref="E5:E27" si="2">((C5-C$29)^2)/23</f>
        <v>1.3477174581011705E-3</v>
      </c>
      <c r="F5" t="s">
        <v>61</v>
      </c>
      <c r="G5" s="1">
        <f t="array" ref="G5">PRODUCT(D5:D27)</f>
        <v>0.66758194611292254</v>
      </c>
      <c r="H5" t="s">
        <v>62</v>
      </c>
    </row>
    <row r="6" spans="1:13">
      <c r="A6" s="11">
        <v>37469</v>
      </c>
      <c r="B6">
        <v>47.86</v>
      </c>
      <c r="C6">
        <f t="shared" si="0"/>
        <v>2.8141783029001124E-2</v>
      </c>
      <c r="D6">
        <f t="shared" si="1"/>
        <v>1.0281417830290012</v>
      </c>
      <c r="E6">
        <f t="shared" si="2"/>
        <v>6.7129232145356947E-5</v>
      </c>
      <c r="F6" t="s">
        <v>63</v>
      </c>
      <c r="G6" s="1">
        <f>G5^(1/24)-1</f>
        <v>-1.6696260086148329E-2</v>
      </c>
      <c r="H6" t="s">
        <v>64</v>
      </c>
    </row>
    <row r="7" spans="1:13">
      <c r="A7" s="11">
        <v>37438</v>
      </c>
      <c r="B7">
        <v>46.55</v>
      </c>
      <c r="C7">
        <f t="shared" si="0"/>
        <v>-0.12909260991580926</v>
      </c>
      <c r="D7">
        <f t="shared" si="1"/>
        <v>0.87090739008419071</v>
      </c>
      <c r="E7">
        <f t="shared" si="2"/>
        <v>6.0478585425328035E-4</v>
      </c>
      <c r="F7" t="s">
        <v>65</v>
      </c>
      <c r="G7" s="1">
        <f>(1+G6)^12-1</f>
        <v>-0.18294311941400165</v>
      </c>
      <c r="H7" t="s">
        <v>66</v>
      </c>
    </row>
    <row r="8" spans="1:13">
      <c r="A8" s="11">
        <v>37410</v>
      </c>
      <c r="B8">
        <v>53.45</v>
      </c>
      <c r="C8">
        <f t="shared" si="0"/>
        <v>-0.13998390989541426</v>
      </c>
      <c r="D8">
        <f t="shared" si="1"/>
        <v>0.86001609010458568</v>
      </c>
      <c r="E8">
        <f t="shared" si="2"/>
        <v>7.2164157558866372E-4</v>
      </c>
      <c r="F8" t="s">
        <v>63</v>
      </c>
      <c r="G8" s="1">
        <f>(B5/B28)^(1/24)-1</f>
        <v>-1.6696260086148329E-2</v>
      </c>
      <c r="H8" t="s">
        <v>64</v>
      </c>
    </row>
    <row r="9" spans="1:13">
      <c r="A9" s="11">
        <v>37377</v>
      </c>
      <c r="B9">
        <v>62.15</v>
      </c>
      <c r="C9">
        <f t="shared" si="0"/>
        <v>-2.4026381909547756E-2</v>
      </c>
      <c r="D9">
        <f t="shared" si="1"/>
        <v>0.97597361809045224</v>
      </c>
      <c r="E9">
        <f t="shared" si="2"/>
        <v>7.2069228820943436E-6</v>
      </c>
      <c r="F9" t="s">
        <v>65</v>
      </c>
      <c r="G9" s="1">
        <f>(1+G8)^12-1</f>
        <v>-0.18294311941400165</v>
      </c>
      <c r="H9" t="s">
        <v>66</v>
      </c>
    </row>
    <row r="10" spans="1:13">
      <c r="A10" s="11">
        <v>37347</v>
      </c>
      <c r="B10">
        <v>63.68</v>
      </c>
      <c r="C10">
        <f t="shared" si="0"/>
        <v>6.1156473921013192E-2</v>
      </c>
      <c r="D10">
        <f t="shared" si="1"/>
        <v>1.0611564739210131</v>
      </c>
      <c r="E10">
        <f t="shared" si="2"/>
        <v>2.2732443266563904E-4</v>
      </c>
      <c r="F10" t="s">
        <v>72</v>
      </c>
      <c r="G10" s="1">
        <f>E29</f>
        <v>1.2060595701261263E-2</v>
      </c>
      <c r="H10" t="s">
        <v>73</v>
      </c>
    </row>
    <row r="11" spans="1:13">
      <c r="A11" s="11">
        <v>37316</v>
      </c>
      <c r="B11">
        <v>60.01</v>
      </c>
      <c r="C11">
        <f t="shared" si="0"/>
        <v>0.14109146225518149</v>
      </c>
      <c r="D11">
        <f t="shared" si="1"/>
        <v>1.1410914622551815</v>
      </c>
      <c r="E11">
        <f t="shared" si="2"/>
        <v>1.0077373592574817E-3</v>
      </c>
      <c r="F11" t="s">
        <v>74</v>
      </c>
      <c r="G11" s="1">
        <f>G10^0.5</f>
        <v>0.10982074349257186</v>
      </c>
      <c r="H11" t="s">
        <v>75</v>
      </c>
    </row>
    <row r="12" spans="1:13">
      <c r="A12" s="11">
        <v>37288</v>
      </c>
      <c r="B12">
        <v>52.59</v>
      </c>
      <c r="C12">
        <f t="shared" si="0"/>
        <v>4.6567164179104545E-2</v>
      </c>
      <c r="D12">
        <f t="shared" si="1"/>
        <v>1.0465671641791046</v>
      </c>
      <c r="E12">
        <f t="shared" si="2"/>
        <v>1.44846054274451E-4</v>
      </c>
      <c r="F12" t="s">
        <v>74</v>
      </c>
      <c r="G12" s="1">
        <f>G11*12^0.5</f>
        <v>0.38043021490824719</v>
      </c>
      <c r="H12" t="s">
        <v>76</v>
      </c>
    </row>
    <row r="13" spans="1:13">
      <c r="A13" s="11">
        <v>37258</v>
      </c>
      <c r="B13">
        <v>50.25</v>
      </c>
      <c r="C13">
        <f t="shared" si="0"/>
        <v>5.2135678391959844E-2</v>
      </c>
      <c r="D13">
        <f t="shared" si="1"/>
        <v>1.0521356783919598</v>
      </c>
      <c r="E13">
        <f t="shared" si="2"/>
        <v>1.7414275890603699E-4</v>
      </c>
    </row>
    <row r="14" spans="1:13">
      <c r="A14" s="11">
        <v>37228</v>
      </c>
      <c r="B14">
        <v>47.76</v>
      </c>
      <c r="C14">
        <f t="shared" si="0"/>
        <v>-2.2113022113022223E-2</v>
      </c>
      <c r="D14">
        <f t="shared" si="1"/>
        <v>0.97788697788697776</v>
      </c>
      <c r="E14">
        <f t="shared" si="2"/>
        <v>5.2240047027541098E-6</v>
      </c>
    </row>
    <row r="15" spans="1:13">
      <c r="A15" s="11">
        <v>37196</v>
      </c>
      <c r="B15">
        <v>48.84</v>
      </c>
      <c r="C15">
        <f t="shared" si="0"/>
        <v>0.21704460503364068</v>
      </c>
      <c r="D15">
        <f t="shared" si="1"/>
        <v>1.2170446050336408</v>
      </c>
      <c r="E15">
        <f t="shared" si="2"/>
        <v>2.2640661682019796E-3</v>
      </c>
    </row>
    <row r="16" spans="1:13">
      <c r="A16" s="11">
        <v>37165</v>
      </c>
      <c r="B16">
        <v>40.130000000000003</v>
      </c>
      <c r="C16">
        <f t="shared" si="0"/>
        <v>-3.6725876140182287E-2</v>
      </c>
      <c r="D16">
        <f t="shared" si="1"/>
        <v>0.9632741238598177</v>
      </c>
      <c r="E16">
        <f t="shared" si="2"/>
        <v>2.843661064749275E-5</v>
      </c>
    </row>
    <row r="17" spans="1:5">
      <c r="A17" s="11">
        <v>37138</v>
      </c>
      <c r="B17">
        <v>41.66</v>
      </c>
      <c r="C17">
        <f t="shared" si="0"/>
        <v>-0.21647545608425814</v>
      </c>
      <c r="D17">
        <f t="shared" si="1"/>
        <v>0.78352454391574189</v>
      </c>
      <c r="E17">
        <f t="shared" si="2"/>
        <v>1.83295101701375E-3</v>
      </c>
    </row>
    <row r="18" spans="1:5">
      <c r="A18" s="11">
        <v>37104</v>
      </c>
      <c r="B18">
        <v>53.17</v>
      </c>
      <c r="C18">
        <f t="shared" si="0"/>
        <v>-0.13234334203655351</v>
      </c>
      <c r="D18">
        <f t="shared" si="1"/>
        <v>0.86765665796344649</v>
      </c>
      <c r="E18">
        <f t="shared" si="2"/>
        <v>6.3858395513208613E-4</v>
      </c>
    </row>
    <row r="19" spans="1:5">
      <c r="A19" s="11">
        <v>37074</v>
      </c>
      <c r="B19">
        <v>61.28</v>
      </c>
      <c r="C19">
        <f t="shared" si="0"/>
        <v>-1.1612903225806433E-2</v>
      </c>
      <c r="D19">
        <f t="shared" si="1"/>
        <v>0.98838709677419356</v>
      </c>
      <c r="E19">
        <f t="shared" si="2"/>
        <v>9.2509832457727514E-9</v>
      </c>
    </row>
    <row r="20" spans="1:5">
      <c r="A20" s="11">
        <v>37043</v>
      </c>
      <c r="B20">
        <v>62</v>
      </c>
      <c r="C20">
        <f t="shared" si="0"/>
        <v>0.13076782783147914</v>
      </c>
      <c r="D20">
        <f t="shared" si="1"/>
        <v>1.1307678278314792</v>
      </c>
      <c r="E20">
        <f t="shared" si="2"/>
        <v>8.7570141853515824E-4</v>
      </c>
    </row>
    <row r="21" spans="1:5">
      <c r="A21" s="11">
        <v>37012</v>
      </c>
      <c r="B21">
        <v>54.83</v>
      </c>
      <c r="C21">
        <f t="shared" si="0"/>
        <v>4.7573557508597528E-2</v>
      </c>
      <c r="D21">
        <f t="shared" si="1"/>
        <v>1.0475735575085976</v>
      </c>
      <c r="E21">
        <f t="shared" si="2"/>
        <v>1.4994120415473409E-4</v>
      </c>
    </row>
    <row r="22" spans="1:5">
      <c r="A22" s="11">
        <v>36983</v>
      </c>
      <c r="B22">
        <v>52.34</v>
      </c>
      <c r="C22">
        <f t="shared" si="0"/>
        <v>5.7160169662694514E-2</v>
      </c>
      <c r="D22">
        <f t="shared" si="1"/>
        <v>1.0571601696626944</v>
      </c>
      <c r="E22">
        <f t="shared" si="2"/>
        <v>2.0289139254660391E-4</v>
      </c>
    </row>
    <row r="23" spans="1:5">
      <c r="A23" s="11">
        <v>36951</v>
      </c>
      <c r="B23">
        <v>49.51</v>
      </c>
      <c r="C23">
        <f t="shared" si="0"/>
        <v>-2.7690494893951367E-2</v>
      </c>
      <c r="D23">
        <f t="shared" si="1"/>
        <v>0.97230950510604863</v>
      </c>
      <c r="E23">
        <f t="shared" si="2"/>
        <v>1.1892784285380342E-5</v>
      </c>
    </row>
    <row r="24" spans="1:5">
      <c r="A24" s="11">
        <v>36923</v>
      </c>
      <c r="B24">
        <v>50.92</v>
      </c>
      <c r="C24">
        <f t="shared" si="0"/>
        <v>1.9677292404565411E-3</v>
      </c>
      <c r="D24">
        <f t="shared" si="1"/>
        <v>1.0019677292404565</v>
      </c>
      <c r="E24">
        <f t="shared" si="2"/>
        <v>7.4833738053398431E-6</v>
      </c>
    </row>
    <row r="25" spans="1:5">
      <c r="A25" s="11">
        <v>36893</v>
      </c>
      <c r="B25">
        <v>50.82</v>
      </c>
      <c r="C25">
        <f t="shared" si="0"/>
        <v>5.4138145612943361E-2</v>
      </c>
      <c r="D25">
        <f t="shared" si="1"/>
        <v>1.0541381456129433</v>
      </c>
      <c r="E25">
        <f t="shared" si="2"/>
        <v>1.8533716750229352E-4</v>
      </c>
    </row>
    <row r="26" spans="1:5">
      <c r="A26" s="11">
        <v>36861</v>
      </c>
      <c r="B26">
        <v>48.21</v>
      </c>
      <c r="C26">
        <f t="shared" si="0"/>
        <v>2.9028815368196358E-2</v>
      </c>
      <c r="D26">
        <f t="shared" si="1"/>
        <v>1.0290288153681963</v>
      </c>
      <c r="E26">
        <f t="shared" si="2"/>
        <v>7.0194270547031446E-5</v>
      </c>
    </row>
    <row r="27" spans="1:5">
      <c r="A27" s="11">
        <v>36831</v>
      </c>
      <c r="B27">
        <v>46.85</v>
      </c>
      <c r="C27">
        <f t="shared" si="0"/>
        <v>-0.19598421142955211</v>
      </c>
      <c r="D27">
        <f t="shared" si="1"/>
        <v>0.80401578857044786</v>
      </c>
      <c r="E27">
        <f t="shared" si="2"/>
        <v>1.4853514351292369E-3</v>
      </c>
    </row>
    <row r="28" spans="1:5">
      <c r="A28" s="11">
        <v>36801</v>
      </c>
      <c r="B28">
        <v>58.27</v>
      </c>
      <c r="C28" t="s">
        <v>67</v>
      </c>
      <c r="D28" t="e">
        <f t="shared" si="1"/>
        <v>#VALUE!</v>
      </c>
    </row>
    <row r="29" spans="1:5">
      <c r="B29" t="s">
        <v>77</v>
      </c>
      <c r="C29">
        <f>SUM(C5:C27)/23</f>
        <v>-1.1151630405609131E-2</v>
      </c>
      <c r="D29" s="4" t="s">
        <v>78</v>
      </c>
      <c r="E29">
        <f>SUM(E5:E27)</f>
        <v>1.2060595701261263E-2</v>
      </c>
    </row>
    <row r="31" spans="1:5" ht="15.75">
      <c r="A31" s="10" t="s">
        <v>68</v>
      </c>
    </row>
    <row r="32" spans="1:5">
      <c r="A32" t="s">
        <v>53</v>
      </c>
      <c r="B32" t="s">
        <v>57</v>
      </c>
      <c r="C32" t="s">
        <v>59</v>
      </c>
      <c r="D32" t="s">
        <v>60</v>
      </c>
      <c r="E32" t="s">
        <v>71</v>
      </c>
    </row>
    <row r="33" spans="1:8">
      <c r="A33" s="11">
        <v>37502</v>
      </c>
      <c r="B33">
        <v>1.96</v>
      </c>
      <c r="C33">
        <f t="shared" ref="C33:C55" si="3">(B33-B34)/B34</f>
        <v>-0.50505050505050508</v>
      </c>
      <c r="D33">
        <f t="shared" ref="D33:D56" si="4">C33+1</f>
        <v>0.49494949494949492</v>
      </c>
      <c r="E33">
        <f t="shared" ref="E33:E55" si="5">((C33-C$57)^2)/23</f>
        <v>7.7325151267718098E-3</v>
      </c>
      <c r="F33" t="s">
        <v>61</v>
      </c>
      <c r="G33" s="1">
        <f t="array" ref="G33">PRODUCT(D33:D55)</f>
        <v>5.1416579223504719E-2</v>
      </c>
      <c r="H33" t="s">
        <v>62</v>
      </c>
    </row>
    <row r="34" spans="1:8">
      <c r="A34" s="11">
        <v>37469</v>
      </c>
      <c r="B34">
        <v>3.96</v>
      </c>
      <c r="C34">
        <f t="shared" si="3"/>
        <v>-3.414634146341456E-2</v>
      </c>
      <c r="D34">
        <f t="shared" si="4"/>
        <v>0.96585365853658545</v>
      </c>
      <c r="E34">
        <f t="shared" si="5"/>
        <v>1.0517702207708273E-4</v>
      </c>
      <c r="F34" t="s">
        <v>63</v>
      </c>
      <c r="G34" s="1">
        <f>G33^(1/24)-1</f>
        <v>-0.11631808748028472</v>
      </c>
      <c r="H34" t="s">
        <v>64</v>
      </c>
    </row>
    <row r="35" spans="1:8">
      <c r="A35" s="11">
        <v>37438</v>
      </c>
      <c r="B35">
        <v>4.0999999999999996</v>
      </c>
      <c r="C35">
        <f t="shared" si="3"/>
        <v>-8.2774049217002266E-2</v>
      </c>
      <c r="D35">
        <f t="shared" si="4"/>
        <v>0.91722595078299773</v>
      </c>
      <c r="E35">
        <f t="shared" si="5"/>
        <v>1.3457608290025843E-8</v>
      </c>
      <c r="F35" t="s">
        <v>65</v>
      </c>
      <c r="G35" s="1">
        <f>(1+G34)^12-1</f>
        <v>-0.77324775806289214</v>
      </c>
      <c r="H35" t="s">
        <v>66</v>
      </c>
    </row>
    <row r="36" spans="1:8">
      <c r="A36" s="11">
        <v>37410</v>
      </c>
      <c r="B36">
        <v>4.47</v>
      </c>
      <c r="C36">
        <f t="shared" si="3"/>
        <v>-0.57183908045977017</v>
      </c>
      <c r="D36">
        <f t="shared" si="4"/>
        <v>0.42816091954022983</v>
      </c>
      <c r="E36">
        <f t="shared" si="5"/>
        <v>1.0375683997431061E-2</v>
      </c>
      <c r="F36" t="s">
        <v>63</v>
      </c>
      <c r="G36" s="1">
        <f>(B33/B56)^(1/24)-1</f>
        <v>-0.11631808748028472</v>
      </c>
      <c r="H36" t="s">
        <v>64</v>
      </c>
    </row>
    <row r="37" spans="1:8">
      <c r="A37" s="11">
        <v>37377</v>
      </c>
      <c r="B37">
        <v>10.44</v>
      </c>
      <c r="C37">
        <f t="shared" si="3"/>
        <v>-6.8688670829616535E-2</v>
      </c>
      <c r="D37">
        <f t="shared" si="4"/>
        <v>0.93131132917038351</v>
      </c>
      <c r="E37">
        <f t="shared" si="5"/>
        <v>9.3208783233505253E-6</v>
      </c>
      <c r="F37" t="s">
        <v>65</v>
      </c>
      <c r="G37" s="1">
        <f>(1+G36)^12-1</f>
        <v>-0.77324775806289214</v>
      </c>
      <c r="H37" t="s">
        <v>66</v>
      </c>
    </row>
    <row r="38" spans="1:8">
      <c r="A38" s="11">
        <v>37347</v>
      </c>
      <c r="B38">
        <v>11.21</v>
      </c>
      <c r="C38">
        <f t="shared" si="3"/>
        <v>8.9407191448007947E-2</v>
      </c>
      <c r="D38">
        <f t="shared" si="4"/>
        <v>1.0894071914480079</v>
      </c>
      <c r="E38">
        <f t="shared" si="5"/>
        <v>1.2973163098141296E-3</v>
      </c>
      <c r="F38" t="s">
        <v>79</v>
      </c>
      <c r="G38" s="1">
        <f>E57</f>
        <v>6.3410123637947832E-2</v>
      </c>
      <c r="H38" t="s">
        <v>73</v>
      </c>
    </row>
    <row r="39" spans="1:8">
      <c r="A39" s="11">
        <v>37316</v>
      </c>
      <c r="B39">
        <v>10.29</v>
      </c>
      <c r="C39">
        <f t="shared" si="3"/>
        <v>0.11243243243243234</v>
      </c>
      <c r="D39">
        <f t="shared" si="4"/>
        <v>1.1124324324324324</v>
      </c>
      <c r="E39">
        <f t="shared" si="5"/>
        <v>1.6662211364627851E-3</v>
      </c>
      <c r="F39" t="s">
        <v>80</v>
      </c>
      <c r="G39" s="1">
        <f>G38^0.5</f>
        <v>0.25181366848911885</v>
      </c>
      <c r="H39" t="s">
        <v>75</v>
      </c>
    </row>
    <row r="40" spans="1:8">
      <c r="A40" s="11">
        <v>37288</v>
      </c>
      <c r="B40">
        <v>9.25</v>
      </c>
      <c r="C40">
        <f t="shared" si="3"/>
        <v>-0.43528693528693524</v>
      </c>
      <c r="D40">
        <f t="shared" si="4"/>
        <v>0.56471306471306471</v>
      </c>
      <c r="E40">
        <f t="shared" si="5"/>
        <v>5.3858001518376974E-3</v>
      </c>
      <c r="F40" t="s">
        <v>80</v>
      </c>
      <c r="G40" s="1">
        <f>G39*12^0.5</f>
        <v>0.87230813572691968</v>
      </c>
      <c r="H40" t="s">
        <v>76</v>
      </c>
    </row>
    <row r="41" spans="1:8">
      <c r="A41" s="11">
        <v>37258</v>
      </c>
      <c r="B41">
        <v>16.38</v>
      </c>
      <c r="C41">
        <f t="shared" si="3"/>
        <v>-0.32896353953297836</v>
      </c>
      <c r="D41">
        <f t="shared" si="4"/>
        <v>0.67103646046702159</v>
      </c>
      <c r="E41">
        <f t="shared" si="5"/>
        <v>2.623288685564933E-3</v>
      </c>
    </row>
    <row r="42" spans="1:8">
      <c r="A42" s="11">
        <v>37228</v>
      </c>
      <c r="B42">
        <v>24.41</v>
      </c>
      <c r="C42">
        <f t="shared" si="3"/>
        <v>-2.1643286573146257E-2</v>
      </c>
      <c r="D42">
        <f t="shared" si="4"/>
        <v>0.97835671342685371</v>
      </c>
      <c r="E42">
        <f t="shared" si="5"/>
        <v>1.6544781867578728E-4</v>
      </c>
    </row>
    <row r="43" spans="1:8">
      <c r="A43" s="11">
        <v>37196</v>
      </c>
      <c r="B43">
        <v>24.95</v>
      </c>
      <c r="C43">
        <f t="shared" si="3"/>
        <v>0.11883408071748872</v>
      </c>
      <c r="D43">
        <f t="shared" si="4"/>
        <v>1.1188340807174888</v>
      </c>
      <c r="E43">
        <f t="shared" si="5"/>
        <v>1.7769772533306166E-3</v>
      </c>
    </row>
    <row r="44" spans="1:8">
      <c r="A44" s="11">
        <v>37165</v>
      </c>
      <c r="B44">
        <v>22.3</v>
      </c>
      <c r="C44">
        <f t="shared" si="3"/>
        <v>-0.15176873335869145</v>
      </c>
      <c r="D44">
        <f t="shared" si="4"/>
        <v>0.84823126664130855</v>
      </c>
      <c r="E44">
        <f t="shared" si="5"/>
        <v>2.0364372264821182E-4</v>
      </c>
    </row>
    <row r="45" spans="1:8">
      <c r="A45" s="11">
        <v>37138</v>
      </c>
      <c r="B45">
        <v>26.29</v>
      </c>
      <c r="C45">
        <f t="shared" si="3"/>
        <v>5.2441953562850231E-2</v>
      </c>
      <c r="D45">
        <f t="shared" si="4"/>
        <v>1.0524419535628502</v>
      </c>
      <c r="E45">
        <f t="shared" si="5"/>
        <v>8.014839868868102E-4</v>
      </c>
    </row>
    <row r="46" spans="1:8">
      <c r="A46" s="11">
        <v>37104</v>
      </c>
      <c r="B46">
        <v>24.98</v>
      </c>
      <c r="C46">
        <f t="shared" si="3"/>
        <v>-3.6265432098765482E-2</v>
      </c>
      <c r="D46">
        <f t="shared" si="4"/>
        <v>0.96373456790123457</v>
      </c>
      <c r="E46">
        <f t="shared" si="5"/>
        <v>9.6309178337794445E-5</v>
      </c>
    </row>
    <row r="47" spans="1:8">
      <c r="A47" s="11">
        <v>37074</v>
      </c>
      <c r="B47">
        <v>25.92</v>
      </c>
      <c r="C47">
        <f t="shared" si="3"/>
        <v>7.3291925465838639E-2</v>
      </c>
      <c r="D47">
        <f t="shared" si="4"/>
        <v>1.0732919254658386</v>
      </c>
      <c r="E47">
        <f t="shared" si="5"/>
        <v>1.0665457606800603E-3</v>
      </c>
    </row>
    <row r="48" spans="1:8">
      <c r="A48" s="11">
        <v>37043</v>
      </c>
      <c r="B48">
        <v>24.15</v>
      </c>
      <c r="C48">
        <f t="shared" si="3"/>
        <v>9.7727272727272663E-2</v>
      </c>
      <c r="D48">
        <f t="shared" si="4"/>
        <v>1.0977272727272727</v>
      </c>
      <c r="E48">
        <f t="shared" si="5"/>
        <v>1.4252991505169833E-3</v>
      </c>
    </row>
    <row r="49" spans="1:5">
      <c r="A49" s="11">
        <v>37012</v>
      </c>
      <c r="B49">
        <v>22</v>
      </c>
      <c r="C49">
        <f t="shared" si="3"/>
        <v>-0.14163090128755362</v>
      </c>
      <c r="D49">
        <f t="shared" si="4"/>
        <v>0.85836909871244638</v>
      </c>
      <c r="E49">
        <f t="shared" si="5"/>
        <v>1.4778037288917936E-4</v>
      </c>
    </row>
    <row r="50" spans="1:5">
      <c r="A50" s="11">
        <v>36983</v>
      </c>
      <c r="B50">
        <v>25.63</v>
      </c>
      <c r="C50">
        <f t="shared" si="3"/>
        <v>0.34894736842105256</v>
      </c>
      <c r="D50">
        <f t="shared" si="4"/>
        <v>1.3489473684210527</v>
      </c>
      <c r="E50">
        <f t="shared" si="5"/>
        <v>8.1245247015787961E-3</v>
      </c>
    </row>
    <row r="51" spans="1:5">
      <c r="A51" s="11">
        <v>36951</v>
      </c>
      <c r="B51">
        <v>19</v>
      </c>
      <c r="C51">
        <f t="shared" si="3"/>
        <v>-0.2454328832406672</v>
      </c>
      <c r="D51">
        <f t="shared" si="4"/>
        <v>0.75456711675933286</v>
      </c>
      <c r="E51">
        <f t="shared" si="5"/>
        <v>1.1424876271011728E-3</v>
      </c>
    </row>
    <row r="52" spans="1:5">
      <c r="A52" s="11">
        <v>36923</v>
      </c>
      <c r="B52">
        <v>25.18</v>
      </c>
      <c r="C52">
        <f t="shared" si="3"/>
        <v>-0.17442622950819672</v>
      </c>
      <c r="D52">
        <f t="shared" si="4"/>
        <v>0.82557377049180325</v>
      </c>
      <c r="E52">
        <f t="shared" si="5"/>
        <v>3.6080218916414417E-4</v>
      </c>
    </row>
    <row r="53" spans="1:5">
      <c r="A53" s="11">
        <v>36893</v>
      </c>
      <c r="B53">
        <v>30.5</v>
      </c>
      <c r="C53">
        <f t="shared" si="3"/>
        <v>0.49217221135029343</v>
      </c>
      <c r="D53">
        <f t="shared" si="4"/>
        <v>1.4921722113502933</v>
      </c>
      <c r="E53">
        <f t="shared" si="5"/>
        <v>1.4400141496805196E-2</v>
      </c>
    </row>
    <row r="54" spans="1:5">
      <c r="A54" s="11">
        <v>36861</v>
      </c>
      <c r="B54">
        <v>20.440000000000001</v>
      </c>
      <c r="C54">
        <f t="shared" si="3"/>
        <v>-9.9162626707800794E-2</v>
      </c>
      <c r="D54">
        <f t="shared" si="4"/>
        <v>0.90083737329219926</v>
      </c>
      <c r="E54">
        <f t="shared" si="5"/>
        <v>1.0898236381016233E-5</v>
      </c>
    </row>
    <row r="55" spans="1:5">
      <c r="A55" s="11">
        <v>36831</v>
      </c>
      <c r="B55">
        <v>22.69</v>
      </c>
      <c r="C55">
        <f t="shared" si="3"/>
        <v>-0.40477439664218251</v>
      </c>
      <c r="D55">
        <f t="shared" si="4"/>
        <v>0.59522560335781749</v>
      </c>
      <c r="E55">
        <f t="shared" si="5"/>
        <v>4.4924453770609305E-3</v>
      </c>
    </row>
    <row r="56" spans="1:5">
      <c r="A56" s="11">
        <v>36801</v>
      </c>
      <c r="B56">
        <v>38.119999999999997</v>
      </c>
      <c r="C56" t="s">
        <v>67</v>
      </c>
      <c r="D56" t="e">
        <f t="shared" si="4"/>
        <v>#VALUE!</v>
      </c>
    </row>
    <row r="57" spans="1:5">
      <c r="B57" t="s">
        <v>77</v>
      </c>
      <c r="C57">
        <f>SUM(C33:C55)/23</f>
        <v>-8.3330398918782175E-2</v>
      </c>
      <c r="D57" s="4" t="s">
        <v>78</v>
      </c>
      <c r="E57">
        <f>SUM(E33:E55)</f>
        <v>6.3410123637947832E-2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A11" sqref="A11"/>
    </sheetView>
  </sheetViews>
  <sheetFormatPr defaultRowHeight="12.75"/>
  <cols>
    <col min="1" max="1" width="16.28515625" style="37" customWidth="1"/>
    <col min="2" max="3" width="9.140625" style="37"/>
    <col min="4" max="4" width="10.140625" style="37" customWidth="1"/>
    <col min="5" max="6" width="9.140625" style="37"/>
    <col min="7" max="7" width="12.28515625" style="37" customWidth="1"/>
    <col min="8" max="16384" width="9.140625" style="37"/>
  </cols>
  <sheetData>
    <row r="1" spans="1:8">
      <c r="A1" s="36" t="s">
        <v>205</v>
      </c>
    </row>
    <row r="2" spans="1:8">
      <c r="A2" s="37" t="s">
        <v>206</v>
      </c>
    </row>
    <row r="3" spans="1:8">
      <c r="A3" s="37" t="s">
        <v>207</v>
      </c>
    </row>
    <row r="4" spans="1:8">
      <c r="A4" s="37" t="s">
        <v>208</v>
      </c>
    </row>
    <row r="5" spans="1:8">
      <c r="A5" s="37" t="s">
        <v>209</v>
      </c>
    </row>
    <row r="6" spans="1:8">
      <c r="A6" s="37" t="s">
        <v>210</v>
      </c>
    </row>
    <row r="7" spans="1:8">
      <c r="A7" s="37" t="s">
        <v>211</v>
      </c>
    </row>
    <row r="8" spans="1:8">
      <c r="A8" s="37" t="s">
        <v>212</v>
      </c>
    </row>
    <row r="9" spans="1:8">
      <c r="A9" s="37" t="s">
        <v>213</v>
      </c>
    </row>
    <row r="10" spans="1:8">
      <c r="A10" s="37" t="s">
        <v>214</v>
      </c>
    </row>
    <row r="12" spans="1:8">
      <c r="A12" s="36" t="s">
        <v>215</v>
      </c>
    </row>
    <row r="13" spans="1:8">
      <c r="A13" s="37" t="s">
        <v>216</v>
      </c>
      <c r="B13" s="38">
        <v>12000</v>
      </c>
      <c r="D13" s="37" t="s">
        <v>217</v>
      </c>
      <c r="E13" s="37">
        <v>0.4</v>
      </c>
      <c r="G13" s="37" t="s">
        <v>218</v>
      </c>
      <c r="H13" s="37">
        <v>20</v>
      </c>
    </row>
    <row r="14" spans="1:8">
      <c r="A14" s="37" t="s">
        <v>219</v>
      </c>
      <c r="B14" s="38">
        <v>22000</v>
      </c>
      <c r="D14" s="37" t="s">
        <v>220</v>
      </c>
      <c r="E14" s="37">
        <v>0.08</v>
      </c>
      <c r="G14" s="37" t="s">
        <v>221</v>
      </c>
      <c r="H14" s="37">
        <v>17</v>
      </c>
    </row>
    <row r="15" spans="1:8">
      <c r="A15" s="37" t="s">
        <v>222</v>
      </c>
      <c r="B15" s="37" t="s">
        <v>223</v>
      </c>
      <c r="D15" s="37" t="s">
        <v>224</v>
      </c>
      <c r="E15" s="37" t="s">
        <v>225</v>
      </c>
      <c r="G15" s="37" t="s">
        <v>226</v>
      </c>
      <c r="H15" s="37">
        <v>0.05</v>
      </c>
    </row>
    <row r="16" spans="1:8">
      <c r="A16" s="37" t="s">
        <v>227</v>
      </c>
      <c r="B16" s="37" t="s">
        <v>228</v>
      </c>
      <c r="D16" s="37" t="s">
        <v>229</v>
      </c>
      <c r="E16" s="37">
        <v>500</v>
      </c>
      <c r="G16" s="37" t="s">
        <v>230</v>
      </c>
      <c r="H16" s="37">
        <v>7.0000000000000007E-2</v>
      </c>
    </row>
    <row r="17" spans="1:5">
      <c r="A17" s="37" t="s">
        <v>231</v>
      </c>
      <c r="B17" s="37">
        <v>6000</v>
      </c>
      <c r="D17" s="37" t="s">
        <v>232</v>
      </c>
      <c r="E17" s="37">
        <v>1000</v>
      </c>
    </row>
    <row r="19" spans="1:5">
      <c r="A19" s="36" t="s">
        <v>233</v>
      </c>
    </row>
    <row r="20" spans="1:5">
      <c r="A20" s="37" t="s">
        <v>234</v>
      </c>
      <c r="B20" s="37">
        <f>(B13-E16)/H13</f>
        <v>575</v>
      </c>
    </row>
    <row r="21" spans="1:5">
      <c r="A21" s="37" t="s">
        <v>235</v>
      </c>
      <c r="B21" s="37">
        <f>(B14-E17)/H14</f>
        <v>1235.2941176470588</v>
      </c>
    </row>
    <row r="22" spans="1:5">
      <c r="A22" s="37" t="s">
        <v>236</v>
      </c>
      <c r="B22" s="38">
        <f>(B13-E16)</f>
        <v>11500</v>
      </c>
    </row>
    <row r="23" spans="1:5">
      <c r="A23" s="37" t="s">
        <v>237</v>
      </c>
      <c r="B23" s="37">
        <f>3*B20</f>
        <v>1725</v>
      </c>
    </row>
    <row r="24" spans="1:5">
      <c r="A24" s="37" t="s">
        <v>238</v>
      </c>
      <c r="B24" s="38">
        <f>B13-B23</f>
        <v>10275</v>
      </c>
    </row>
    <row r="25" spans="1:5">
      <c r="A25" s="37" t="s">
        <v>239</v>
      </c>
      <c r="B25" s="38">
        <f>B17-B24</f>
        <v>-4275</v>
      </c>
    </row>
    <row r="27" spans="1:5">
      <c r="A27" s="36" t="s">
        <v>240</v>
      </c>
    </row>
    <row r="28" spans="1:5">
      <c r="A28" s="37" t="s">
        <v>241</v>
      </c>
      <c r="B28" s="37">
        <f>((-2000*(1-E$13)))/(E$14-H$15)*(1-(1+H$15)^H$14/(1+E$14)^H$14)+(((B$20*E$13))/E$14)*(1-1/(1+E$14)^H$14)+E$16/(1+E$14)^H$14</f>
        <v>-12988.433261855316</v>
      </c>
    </row>
    <row r="29" spans="1:5">
      <c r="A29" s="37" t="s">
        <v>242</v>
      </c>
      <c r="B29" s="37">
        <f>-B$14+B$17-B$25*E$13+((-200*(1-E$13)))/(E$14-H$16)*(1-(1+H$16)^H$14/(1+E$14)^H$14)+(((B$21*E$13))/E$14)*(1-1/(1+E$14)^H$14)+E$17/(1+E$14)^H$14</f>
        <v>-11267.81259130826</v>
      </c>
      <c r="D29" s="39" t="str">
        <f>IF(B29&gt;B28, "REPLACE OLD TRUCK", "KEEP OLD TRUCK")</f>
        <v>REPLACE OLD TRUCK</v>
      </c>
    </row>
    <row r="31" spans="1:5">
      <c r="A31" s="36" t="s">
        <v>243</v>
      </c>
    </row>
    <row r="32" spans="1:5">
      <c r="A32" s="37" t="s">
        <v>241</v>
      </c>
      <c r="B32" s="37">
        <f>((-2000*(1-E$13)))/(E$14-H$15)*(1-(1+H$15)^H$14/(1+E$14)^H$14)+(((B$20*E$13))/E$14)*(1-1/(1+E$14)^H$14)+E$16/(1+E$14)^H$14</f>
        <v>-12988.433261855316</v>
      </c>
    </row>
    <row r="33" spans="1:4">
      <c r="A33" s="37" t="s">
        <v>242</v>
      </c>
      <c r="B33" s="37">
        <f>-B$14+12000+((-200*(1-E$13)))/(E$14-H$16)*(1-(1+H$16)^H$14/(1+E$14)^H$14)+((((B$21-(12000-B24)/17)*E$13))/E$14)*(1-1/(1+E$14)^H$14)+E$17/(1+E$14)^H$14</f>
        <v>-7348.0437850602384</v>
      </c>
      <c r="D33" s="39" t="str">
        <f>IF(B33&gt;B32, "REPLACE OLD TRUCK", "KEEP OLD TRUCK")</f>
        <v>REPLACE OLD TRUCK</v>
      </c>
    </row>
  </sheetData>
  <pageMargins left="0.75" right="0.75" top="1" bottom="1" header="0.5" footer="0.5"/>
  <pageSetup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F5" sqref="F5"/>
    </sheetView>
  </sheetViews>
  <sheetFormatPr defaultRowHeight="12.75"/>
  <cols>
    <col min="1" max="1" width="13.140625" style="37" customWidth="1"/>
    <col min="2" max="2" width="5.140625" style="37" customWidth="1"/>
    <col min="3" max="3" width="12.28515625" style="76" customWidth="1"/>
    <col min="4" max="4" width="12.28515625" style="37" customWidth="1"/>
    <col min="5" max="5" width="12.42578125" style="37" customWidth="1"/>
    <col min="6" max="6" width="15" style="37" bestFit="1" customWidth="1"/>
    <col min="7" max="7" width="11.85546875" style="37" customWidth="1"/>
    <col min="8" max="8" width="17.42578125" style="37" customWidth="1"/>
    <col min="9" max="9" width="12.28515625" style="37" bestFit="1" customWidth="1"/>
    <col min="10" max="256" width="9.140625" style="37"/>
    <col min="257" max="257" width="13.140625" style="37" customWidth="1"/>
    <col min="258" max="258" width="5.140625" style="37" customWidth="1"/>
    <col min="259" max="260" width="12.28515625" style="37" customWidth="1"/>
    <col min="261" max="261" width="12.42578125" style="37" customWidth="1"/>
    <col min="262" max="262" width="15" style="37" bestFit="1" customWidth="1"/>
    <col min="263" max="263" width="11.85546875" style="37" customWidth="1"/>
    <col min="264" max="264" width="17.42578125" style="37" customWidth="1"/>
    <col min="265" max="265" width="12.28515625" style="37" bestFit="1" customWidth="1"/>
    <col min="266" max="512" width="9.140625" style="37"/>
    <col min="513" max="513" width="13.140625" style="37" customWidth="1"/>
    <col min="514" max="514" width="5.140625" style="37" customWidth="1"/>
    <col min="515" max="516" width="12.28515625" style="37" customWidth="1"/>
    <col min="517" max="517" width="12.42578125" style="37" customWidth="1"/>
    <col min="518" max="518" width="15" style="37" bestFit="1" customWidth="1"/>
    <col min="519" max="519" width="11.85546875" style="37" customWidth="1"/>
    <col min="520" max="520" width="17.42578125" style="37" customWidth="1"/>
    <col min="521" max="521" width="12.28515625" style="37" bestFit="1" customWidth="1"/>
    <col min="522" max="768" width="9.140625" style="37"/>
    <col min="769" max="769" width="13.140625" style="37" customWidth="1"/>
    <col min="770" max="770" width="5.140625" style="37" customWidth="1"/>
    <col min="771" max="772" width="12.28515625" style="37" customWidth="1"/>
    <col min="773" max="773" width="12.42578125" style="37" customWidth="1"/>
    <col min="774" max="774" width="15" style="37" bestFit="1" customWidth="1"/>
    <col min="775" max="775" width="11.85546875" style="37" customWidth="1"/>
    <col min="776" max="776" width="17.42578125" style="37" customWidth="1"/>
    <col min="777" max="777" width="12.28515625" style="37" bestFit="1" customWidth="1"/>
    <col min="778" max="1024" width="9.140625" style="37"/>
    <col min="1025" max="1025" width="13.140625" style="37" customWidth="1"/>
    <col min="1026" max="1026" width="5.140625" style="37" customWidth="1"/>
    <col min="1027" max="1028" width="12.28515625" style="37" customWidth="1"/>
    <col min="1029" max="1029" width="12.42578125" style="37" customWidth="1"/>
    <col min="1030" max="1030" width="15" style="37" bestFit="1" customWidth="1"/>
    <col min="1031" max="1031" width="11.85546875" style="37" customWidth="1"/>
    <col min="1032" max="1032" width="17.42578125" style="37" customWidth="1"/>
    <col min="1033" max="1033" width="12.28515625" style="37" bestFit="1" customWidth="1"/>
    <col min="1034" max="1280" width="9.140625" style="37"/>
    <col min="1281" max="1281" width="13.140625" style="37" customWidth="1"/>
    <col min="1282" max="1282" width="5.140625" style="37" customWidth="1"/>
    <col min="1283" max="1284" width="12.28515625" style="37" customWidth="1"/>
    <col min="1285" max="1285" width="12.42578125" style="37" customWidth="1"/>
    <col min="1286" max="1286" width="15" style="37" bestFit="1" customWidth="1"/>
    <col min="1287" max="1287" width="11.85546875" style="37" customWidth="1"/>
    <col min="1288" max="1288" width="17.42578125" style="37" customWidth="1"/>
    <col min="1289" max="1289" width="12.28515625" style="37" bestFit="1" customWidth="1"/>
    <col min="1290" max="1536" width="9.140625" style="37"/>
    <col min="1537" max="1537" width="13.140625" style="37" customWidth="1"/>
    <col min="1538" max="1538" width="5.140625" style="37" customWidth="1"/>
    <col min="1539" max="1540" width="12.28515625" style="37" customWidth="1"/>
    <col min="1541" max="1541" width="12.42578125" style="37" customWidth="1"/>
    <col min="1542" max="1542" width="15" style="37" bestFit="1" customWidth="1"/>
    <col min="1543" max="1543" width="11.85546875" style="37" customWidth="1"/>
    <col min="1544" max="1544" width="17.42578125" style="37" customWidth="1"/>
    <col min="1545" max="1545" width="12.28515625" style="37" bestFit="1" customWidth="1"/>
    <col min="1546" max="1792" width="9.140625" style="37"/>
    <col min="1793" max="1793" width="13.140625" style="37" customWidth="1"/>
    <col min="1794" max="1794" width="5.140625" style="37" customWidth="1"/>
    <col min="1795" max="1796" width="12.28515625" style="37" customWidth="1"/>
    <col min="1797" max="1797" width="12.42578125" style="37" customWidth="1"/>
    <col min="1798" max="1798" width="15" style="37" bestFit="1" customWidth="1"/>
    <col min="1799" max="1799" width="11.85546875" style="37" customWidth="1"/>
    <col min="1800" max="1800" width="17.42578125" style="37" customWidth="1"/>
    <col min="1801" max="1801" width="12.28515625" style="37" bestFit="1" customWidth="1"/>
    <col min="1802" max="2048" width="9.140625" style="37"/>
    <col min="2049" max="2049" width="13.140625" style="37" customWidth="1"/>
    <col min="2050" max="2050" width="5.140625" style="37" customWidth="1"/>
    <col min="2051" max="2052" width="12.28515625" style="37" customWidth="1"/>
    <col min="2053" max="2053" width="12.42578125" style="37" customWidth="1"/>
    <col min="2054" max="2054" width="15" style="37" bestFit="1" customWidth="1"/>
    <col min="2055" max="2055" width="11.85546875" style="37" customWidth="1"/>
    <col min="2056" max="2056" width="17.42578125" style="37" customWidth="1"/>
    <col min="2057" max="2057" width="12.28515625" style="37" bestFit="1" customWidth="1"/>
    <col min="2058" max="2304" width="9.140625" style="37"/>
    <col min="2305" max="2305" width="13.140625" style="37" customWidth="1"/>
    <col min="2306" max="2306" width="5.140625" style="37" customWidth="1"/>
    <col min="2307" max="2308" width="12.28515625" style="37" customWidth="1"/>
    <col min="2309" max="2309" width="12.42578125" style="37" customWidth="1"/>
    <col min="2310" max="2310" width="15" style="37" bestFit="1" customWidth="1"/>
    <col min="2311" max="2311" width="11.85546875" style="37" customWidth="1"/>
    <col min="2312" max="2312" width="17.42578125" style="37" customWidth="1"/>
    <col min="2313" max="2313" width="12.28515625" style="37" bestFit="1" customWidth="1"/>
    <col min="2314" max="2560" width="9.140625" style="37"/>
    <col min="2561" max="2561" width="13.140625" style="37" customWidth="1"/>
    <col min="2562" max="2562" width="5.140625" style="37" customWidth="1"/>
    <col min="2563" max="2564" width="12.28515625" style="37" customWidth="1"/>
    <col min="2565" max="2565" width="12.42578125" style="37" customWidth="1"/>
    <col min="2566" max="2566" width="15" style="37" bestFit="1" customWidth="1"/>
    <col min="2567" max="2567" width="11.85546875" style="37" customWidth="1"/>
    <col min="2568" max="2568" width="17.42578125" style="37" customWidth="1"/>
    <col min="2569" max="2569" width="12.28515625" style="37" bestFit="1" customWidth="1"/>
    <col min="2570" max="2816" width="9.140625" style="37"/>
    <col min="2817" max="2817" width="13.140625" style="37" customWidth="1"/>
    <col min="2818" max="2818" width="5.140625" style="37" customWidth="1"/>
    <col min="2819" max="2820" width="12.28515625" style="37" customWidth="1"/>
    <col min="2821" max="2821" width="12.42578125" style="37" customWidth="1"/>
    <col min="2822" max="2822" width="15" style="37" bestFit="1" customWidth="1"/>
    <col min="2823" max="2823" width="11.85546875" style="37" customWidth="1"/>
    <col min="2824" max="2824" width="17.42578125" style="37" customWidth="1"/>
    <col min="2825" max="2825" width="12.28515625" style="37" bestFit="1" customWidth="1"/>
    <col min="2826" max="3072" width="9.140625" style="37"/>
    <col min="3073" max="3073" width="13.140625" style="37" customWidth="1"/>
    <col min="3074" max="3074" width="5.140625" style="37" customWidth="1"/>
    <col min="3075" max="3076" width="12.28515625" style="37" customWidth="1"/>
    <col min="3077" max="3077" width="12.42578125" style="37" customWidth="1"/>
    <col min="3078" max="3078" width="15" style="37" bestFit="1" customWidth="1"/>
    <col min="3079" max="3079" width="11.85546875" style="37" customWidth="1"/>
    <col min="3080" max="3080" width="17.42578125" style="37" customWidth="1"/>
    <col min="3081" max="3081" width="12.28515625" style="37" bestFit="1" customWidth="1"/>
    <col min="3082" max="3328" width="9.140625" style="37"/>
    <col min="3329" max="3329" width="13.140625" style="37" customWidth="1"/>
    <col min="3330" max="3330" width="5.140625" style="37" customWidth="1"/>
    <col min="3331" max="3332" width="12.28515625" style="37" customWidth="1"/>
    <col min="3333" max="3333" width="12.42578125" style="37" customWidth="1"/>
    <col min="3334" max="3334" width="15" style="37" bestFit="1" customWidth="1"/>
    <col min="3335" max="3335" width="11.85546875" style="37" customWidth="1"/>
    <col min="3336" max="3336" width="17.42578125" style="37" customWidth="1"/>
    <col min="3337" max="3337" width="12.28515625" style="37" bestFit="1" customWidth="1"/>
    <col min="3338" max="3584" width="9.140625" style="37"/>
    <col min="3585" max="3585" width="13.140625" style="37" customWidth="1"/>
    <col min="3586" max="3586" width="5.140625" style="37" customWidth="1"/>
    <col min="3587" max="3588" width="12.28515625" style="37" customWidth="1"/>
    <col min="3589" max="3589" width="12.42578125" style="37" customWidth="1"/>
    <col min="3590" max="3590" width="15" style="37" bestFit="1" customWidth="1"/>
    <col min="3591" max="3591" width="11.85546875" style="37" customWidth="1"/>
    <col min="3592" max="3592" width="17.42578125" style="37" customWidth="1"/>
    <col min="3593" max="3593" width="12.28515625" style="37" bestFit="1" customWidth="1"/>
    <col min="3594" max="3840" width="9.140625" style="37"/>
    <col min="3841" max="3841" width="13.140625" style="37" customWidth="1"/>
    <col min="3842" max="3842" width="5.140625" style="37" customWidth="1"/>
    <col min="3843" max="3844" width="12.28515625" style="37" customWidth="1"/>
    <col min="3845" max="3845" width="12.42578125" style="37" customWidth="1"/>
    <col min="3846" max="3846" width="15" style="37" bestFit="1" customWidth="1"/>
    <col min="3847" max="3847" width="11.85546875" style="37" customWidth="1"/>
    <col min="3848" max="3848" width="17.42578125" style="37" customWidth="1"/>
    <col min="3849" max="3849" width="12.28515625" style="37" bestFit="1" customWidth="1"/>
    <col min="3850" max="4096" width="9.140625" style="37"/>
    <col min="4097" max="4097" width="13.140625" style="37" customWidth="1"/>
    <col min="4098" max="4098" width="5.140625" style="37" customWidth="1"/>
    <col min="4099" max="4100" width="12.28515625" style="37" customWidth="1"/>
    <col min="4101" max="4101" width="12.42578125" style="37" customWidth="1"/>
    <col min="4102" max="4102" width="15" style="37" bestFit="1" customWidth="1"/>
    <col min="4103" max="4103" width="11.85546875" style="37" customWidth="1"/>
    <col min="4104" max="4104" width="17.42578125" style="37" customWidth="1"/>
    <col min="4105" max="4105" width="12.28515625" style="37" bestFit="1" customWidth="1"/>
    <col min="4106" max="4352" width="9.140625" style="37"/>
    <col min="4353" max="4353" width="13.140625" style="37" customWidth="1"/>
    <col min="4354" max="4354" width="5.140625" style="37" customWidth="1"/>
    <col min="4355" max="4356" width="12.28515625" style="37" customWidth="1"/>
    <col min="4357" max="4357" width="12.42578125" style="37" customWidth="1"/>
    <col min="4358" max="4358" width="15" style="37" bestFit="1" customWidth="1"/>
    <col min="4359" max="4359" width="11.85546875" style="37" customWidth="1"/>
    <col min="4360" max="4360" width="17.42578125" style="37" customWidth="1"/>
    <col min="4361" max="4361" width="12.28515625" style="37" bestFit="1" customWidth="1"/>
    <col min="4362" max="4608" width="9.140625" style="37"/>
    <col min="4609" max="4609" width="13.140625" style="37" customWidth="1"/>
    <col min="4610" max="4610" width="5.140625" style="37" customWidth="1"/>
    <col min="4611" max="4612" width="12.28515625" style="37" customWidth="1"/>
    <col min="4613" max="4613" width="12.42578125" style="37" customWidth="1"/>
    <col min="4614" max="4614" width="15" style="37" bestFit="1" customWidth="1"/>
    <col min="4615" max="4615" width="11.85546875" style="37" customWidth="1"/>
    <col min="4616" max="4616" width="17.42578125" style="37" customWidth="1"/>
    <col min="4617" max="4617" width="12.28515625" style="37" bestFit="1" customWidth="1"/>
    <col min="4618" max="4864" width="9.140625" style="37"/>
    <col min="4865" max="4865" width="13.140625" style="37" customWidth="1"/>
    <col min="4866" max="4866" width="5.140625" style="37" customWidth="1"/>
    <col min="4867" max="4868" width="12.28515625" style="37" customWidth="1"/>
    <col min="4869" max="4869" width="12.42578125" style="37" customWidth="1"/>
    <col min="4870" max="4870" width="15" style="37" bestFit="1" customWidth="1"/>
    <col min="4871" max="4871" width="11.85546875" style="37" customWidth="1"/>
    <col min="4872" max="4872" width="17.42578125" style="37" customWidth="1"/>
    <col min="4873" max="4873" width="12.28515625" style="37" bestFit="1" customWidth="1"/>
    <col min="4874" max="5120" width="9.140625" style="37"/>
    <col min="5121" max="5121" width="13.140625" style="37" customWidth="1"/>
    <col min="5122" max="5122" width="5.140625" style="37" customWidth="1"/>
    <col min="5123" max="5124" width="12.28515625" style="37" customWidth="1"/>
    <col min="5125" max="5125" width="12.42578125" style="37" customWidth="1"/>
    <col min="5126" max="5126" width="15" style="37" bestFit="1" customWidth="1"/>
    <col min="5127" max="5127" width="11.85546875" style="37" customWidth="1"/>
    <col min="5128" max="5128" width="17.42578125" style="37" customWidth="1"/>
    <col min="5129" max="5129" width="12.28515625" style="37" bestFit="1" customWidth="1"/>
    <col min="5130" max="5376" width="9.140625" style="37"/>
    <col min="5377" max="5377" width="13.140625" style="37" customWidth="1"/>
    <col min="5378" max="5378" width="5.140625" style="37" customWidth="1"/>
    <col min="5379" max="5380" width="12.28515625" style="37" customWidth="1"/>
    <col min="5381" max="5381" width="12.42578125" style="37" customWidth="1"/>
    <col min="5382" max="5382" width="15" style="37" bestFit="1" customWidth="1"/>
    <col min="5383" max="5383" width="11.85546875" style="37" customWidth="1"/>
    <col min="5384" max="5384" width="17.42578125" style="37" customWidth="1"/>
    <col min="5385" max="5385" width="12.28515625" style="37" bestFit="1" customWidth="1"/>
    <col min="5386" max="5632" width="9.140625" style="37"/>
    <col min="5633" max="5633" width="13.140625" style="37" customWidth="1"/>
    <col min="5634" max="5634" width="5.140625" style="37" customWidth="1"/>
    <col min="5635" max="5636" width="12.28515625" style="37" customWidth="1"/>
    <col min="5637" max="5637" width="12.42578125" style="37" customWidth="1"/>
    <col min="5638" max="5638" width="15" style="37" bestFit="1" customWidth="1"/>
    <col min="5639" max="5639" width="11.85546875" style="37" customWidth="1"/>
    <col min="5640" max="5640" width="17.42578125" style="37" customWidth="1"/>
    <col min="5641" max="5641" width="12.28515625" style="37" bestFit="1" customWidth="1"/>
    <col min="5642" max="5888" width="9.140625" style="37"/>
    <col min="5889" max="5889" width="13.140625" style="37" customWidth="1"/>
    <col min="5890" max="5890" width="5.140625" style="37" customWidth="1"/>
    <col min="5891" max="5892" width="12.28515625" style="37" customWidth="1"/>
    <col min="5893" max="5893" width="12.42578125" style="37" customWidth="1"/>
    <col min="5894" max="5894" width="15" style="37" bestFit="1" customWidth="1"/>
    <col min="5895" max="5895" width="11.85546875" style="37" customWidth="1"/>
    <col min="5896" max="5896" width="17.42578125" style="37" customWidth="1"/>
    <col min="5897" max="5897" width="12.28515625" style="37" bestFit="1" customWidth="1"/>
    <col min="5898" max="6144" width="9.140625" style="37"/>
    <col min="6145" max="6145" width="13.140625" style="37" customWidth="1"/>
    <col min="6146" max="6146" width="5.140625" style="37" customWidth="1"/>
    <col min="6147" max="6148" width="12.28515625" style="37" customWidth="1"/>
    <col min="6149" max="6149" width="12.42578125" style="37" customWidth="1"/>
    <col min="6150" max="6150" width="15" style="37" bestFit="1" customWidth="1"/>
    <col min="6151" max="6151" width="11.85546875" style="37" customWidth="1"/>
    <col min="6152" max="6152" width="17.42578125" style="37" customWidth="1"/>
    <col min="6153" max="6153" width="12.28515625" style="37" bestFit="1" customWidth="1"/>
    <col min="6154" max="6400" width="9.140625" style="37"/>
    <col min="6401" max="6401" width="13.140625" style="37" customWidth="1"/>
    <col min="6402" max="6402" width="5.140625" style="37" customWidth="1"/>
    <col min="6403" max="6404" width="12.28515625" style="37" customWidth="1"/>
    <col min="6405" max="6405" width="12.42578125" style="37" customWidth="1"/>
    <col min="6406" max="6406" width="15" style="37" bestFit="1" customWidth="1"/>
    <col min="6407" max="6407" width="11.85546875" style="37" customWidth="1"/>
    <col min="6408" max="6408" width="17.42578125" style="37" customWidth="1"/>
    <col min="6409" max="6409" width="12.28515625" style="37" bestFit="1" customWidth="1"/>
    <col min="6410" max="6656" width="9.140625" style="37"/>
    <col min="6657" max="6657" width="13.140625" style="37" customWidth="1"/>
    <col min="6658" max="6658" width="5.140625" style="37" customWidth="1"/>
    <col min="6659" max="6660" width="12.28515625" style="37" customWidth="1"/>
    <col min="6661" max="6661" width="12.42578125" style="37" customWidth="1"/>
    <col min="6662" max="6662" width="15" style="37" bestFit="1" customWidth="1"/>
    <col min="6663" max="6663" width="11.85546875" style="37" customWidth="1"/>
    <col min="6664" max="6664" width="17.42578125" style="37" customWidth="1"/>
    <col min="6665" max="6665" width="12.28515625" style="37" bestFit="1" customWidth="1"/>
    <col min="6666" max="6912" width="9.140625" style="37"/>
    <col min="6913" max="6913" width="13.140625" style="37" customWidth="1"/>
    <col min="6914" max="6914" width="5.140625" style="37" customWidth="1"/>
    <col min="6915" max="6916" width="12.28515625" style="37" customWidth="1"/>
    <col min="6917" max="6917" width="12.42578125" style="37" customWidth="1"/>
    <col min="6918" max="6918" width="15" style="37" bestFit="1" customWidth="1"/>
    <col min="6919" max="6919" width="11.85546875" style="37" customWidth="1"/>
    <col min="6920" max="6920" width="17.42578125" style="37" customWidth="1"/>
    <col min="6921" max="6921" width="12.28515625" style="37" bestFit="1" customWidth="1"/>
    <col min="6922" max="7168" width="9.140625" style="37"/>
    <col min="7169" max="7169" width="13.140625" style="37" customWidth="1"/>
    <col min="7170" max="7170" width="5.140625" style="37" customWidth="1"/>
    <col min="7171" max="7172" width="12.28515625" style="37" customWidth="1"/>
    <col min="7173" max="7173" width="12.42578125" style="37" customWidth="1"/>
    <col min="7174" max="7174" width="15" style="37" bestFit="1" customWidth="1"/>
    <col min="7175" max="7175" width="11.85546875" style="37" customWidth="1"/>
    <col min="7176" max="7176" width="17.42578125" style="37" customWidth="1"/>
    <col min="7177" max="7177" width="12.28515625" style="37" bestFit="1" customWidth="1"/>
    <col min="7178" max="7424" width="9.140625" style="37"/>
    <col min="7425" max="7425" width="13.140625" style="37" customWidth="1"/>
    <col min="7426" max="7426" width="5.140625" style="37" customWidth="1"/>
    <col min="7427" max="7428" width="12.28515625" style="37" customWidth="1"/>
    <col min="7429" max="7429" width="12.42578125" style="37" customWidth="1"/>
    <col min="7430" max="7430" width="15" style="37" bestFit="1" customWidth="1"/>
    <col min="7431" max="7431" width="11.85546875" style="37" customWidth="1"/>
    <col min="7432" max="7432" width="17.42578125" style="37" customWidth="1"/>
    <col min="7433" max="7433" width="12.28515625" style="37" bestFit="1" customWidth="1"/>
    <col min="7434" max="7680" width="9.140625" style="37"/>
    <col min="7681" max="7681" width="13.140625" style="37" customWidth="1"/>
    <col min="7682" max="7682" width="5.140625" style="37" customWidth="1"/>
    <col min="7683" max="7684" width="12.28515625" style="37" customWidth="1"/>
    <col min="7685" max="7685" width="12.42578125" style="37" customWidth="1"/>
    <col min="7686" max="7686" width="15" style="37" bestFit="1" customWidth="1"/>
    <col min="7687" max="7687" width="11.85546875" style="37" customWidth="1"/>
    <col min="7688" max="7688" width="17.42578125" style="37" customWidth="1"/>
    <col min="7689" max="7689" width="12.28515625" style="37" bestFit="1" customWidth="1"/>
    <col min="7690" max="7936" width="9.140625" style="37"/>
    <col min="7937" max="7937" width="13.140625" style="37" customWidth="1"/>
    <col min="7938" max="7938" width="5.140625" style="37" customWidth="1"/>
    <col min="7939" max="7940" width="12.28515625" style="37" customWidth="1"/>
    <col min="7941" max="7941" width="12.42578125" style="37" customWidth="1"/>
    <col min="7942" max="7942" width="15" style="37" bestFit="1" customWidth="1"/>
    <col min="7943" max="7943" width="11.85546875" style="37" customWidth="1"/>
    <col min="7944" max="7944" width="17.42578125" style="37" customWidth="1"/>
    <col min="7945" max="7945" width="12.28515625" style="37" bestFit="1" customWidth="1"/>
    <col min="7946" max="8192" width="9.140625" style="37"/>
    <col min="8193" max="8193" width="13.140625" style="37" customWidth="1"/>
    <col min="8194" max="8194" width="5.140625" style="37" customWidth="1"/>
    <col min="8195" max="8196" width="12.28515625" style="37" customWidth="1"/>
    <col min="8197" max="8197" width="12.42578125" style="37" customWidth="1"/>
    <col min="8198" max="8198" width="15" style="37" bestFit="1" customWidth="1"/>
    <col min="8199" max="8199" width="11.85546875" style="37" customWidth="1"/>
    <col min="8200" max="8200" width="17.42578125" style="37" customWidth="1"/>
    <col min="8201" max="8201" width="12.28515625" style="37" bestFit="1" customWidth="1"/>
    <col min="8202" max="8448" width="9.140625" style="37"/>
    <col min="8449" max="8449" width="13.140625" style="37" customWidth="1"/>
    <col min="8450" max="8450" width="5.140625" style="37" customWidth="1"/>
    <col min="8451" max="8452" width="12.28515625" style="37" customWidth="1"/>
    <col min="8453" max="8453" width="12.42578125" style="37" customWidth="1"/>
    <col min="8454" max="8454" width="15" style="37" bestFit="1" customWidth="1"/>
    <col min="8455" max="8455" width="11.85546875" style="37" customWidth="1"/>
    <col min="8456" max="8456" width="17.42578125" style="37" customWidth="1"/>
    <col min="8457" max="8457" width="12.28515625" style="37" bestFit="1" customWidth="1"/>
    <col min="8458" max="8704" width="9.140625" style="37"/>
    <col min="8705" max="8705" width="13.140625" style="37" customWidth="1"/>
    <col min="8706" max="8706" width="5.140625" style="37" customWidth="1"/>
    <col min="8707" max="8708" width="12.28515625" style="37" customWidth="1"/>
    <col min="8709" max="8709" width="12.42578125" style="37" customWidth="1"/>
    <col min="8710" max="8710" width="15" style="37" bestFit="1" customWidth="1"/>
    <col min="8711" max="8711" width="11.85546875" style="37" customWidth="1"/>
    <col min="8712" max="8712" width="17.42578125" style="37" customWidth="1"/>
    <col min="8713" max="8713" width="12.28515625" style="37" bestFit="1" customWidth="1"/>
    <col min="8714" max="8960" width="9.140625" style="37"/>
    <col min="8961" max="8961" width="13.140625" style="37" customWidth="1"/>
    <col min="8962" max="8962" width="5.140625" style="37" customWidth="1"/>
    <col min="8963" max="8964" width="12.28515625" style="37" customWidth="1"/>
    <col min="8965" max="8965" width="12.42578125" style="37" customWidth="1"/>
    <col min="8966" max="8966" width="15" style="37" bestFit="1" customWidth="1"/>
    <col min="8967" max="8967" width="11.85546875" style="37" customWidth="1"/>
    <col min="8968" max="8968" width="17.42578125" style="37" customWidth="1"/>
    <col min="8969" max="8969" width="12.28515625" style="37" bestFit="1" customWidth="1"/>
    <col min="8970" max="9216" width="9.140625" style="37"/>
    <col min="9217" max="9217" width="13.140625" style="37" customWidth="1"/>
    <col min="9218" max="9218" width="5.140625" style="37" customWidth="1"/>
    <col min="9219" max="9220" width="12.28515625" style="37" customWidth="1"/>
    <col min="9221" max="9221" width="12.42578125" style="37" customWidth="1"/>
    <col min="9222" max="9222" width="15" style="37" bestFit="1" customWidth="1"/>
    <col min="9223" max="9223" width="11.85546875" style="37" customWidth="1"/>
    <col min="9224" max="9224" width="17.42578125" style="37" customWidth="1"/>
    <col min="9225" max="9225" width="12.28515625" style="37" bestFit="1" customWidth="1"/>
    <col min="9226" max="9472" width="9.140625" style="37"/>
    <col min="9473" max="9473" width="13.140625" style="37" customWidth="1"/>
    <col min="9474" max="9474" width="5.140625" style="37" customWidth="1"/>
    <col min="9475" max="9476" width="12.28515625" style="37" customWidth="1"/>
    <col min="9477" max="9477" width="12.42578125" style="37" customWidth="1"/>
    <col min="9478" max="9478" width="15" style="37" bestFit="1" customWidth="1"/>
    <col min="9479" max="9479" width="11.85546875" style="37" customWidth="1"/>
    <col min="9480" max="9480" width="17.42578125" style="37" customWidth="1"/>
    <col min="9481" max="9481" width="12.28515625" style="37" bestFit="1" customWidth="1"/>
    <col min="9482" max="9728" width="9.140625" style="37"/>
    <col min="9729" max="9729" width="13.140625" style="37" customWidth="1"/>
    <col min="9730" max="9730" width="5.140625" style="37" customWidth="1"/>
    <col min="9731" max="9732" width="12.28515625" style="37" customWidth="1"/>
    <col min="9733" max="9733" width="12.42578125" style="37" customWidth="1"/>
    <col min="9734" max="9734" width="15" style="37" bestFit="1" customWidth="1"/>
    <col min="9735" max="9735" width="11.85546875" style="37" customWidth="1"/>
    <col min="9736" max="9736" width="17.42578125" style="37" customWidth="1"/>
    <col min="9737" max="9737" width="12.28515625" style="37" bestFit="1" customWidth="1"/>
    <col min="9738" max="9984" width="9.140625" style="37"/>
    <col min="9985" max="9985" width="13.140625" style="37" customWidth="1"/>
    <col min="9986" max="9986" width="5.140625" style="37" customWidth="1"/>
    <col min="9987" max="9988" width="12.28515625" style="37" customWidth="1"/>
    <col min="9989" max="9989" width="12.42578125" style="37" customWidth="1"/>
    <col min="9990" max="9990" width="15" style="37" bestFit="1" customWidth="1"/>
    <col min="9991" max="9991" width="11.85546875" style="37" customWidth="1"/>
    <col min="9992" max="9992" width="17.42578125" style="37" customWidth="1"/>
    <col min="9993" max="9993" width="12.28515625" style="37" bestFit="1" customWidth="1"/>
    <col min="9994" max="10240" width="9.140625" style="37"/>
    <col min="10241" max="10241" width="13.140625" style="37" customWidth="1"/>
    <col min="10242" max="10242" width="5.140625" style="37" customWidth="1"/>
    <col min="10243" max="10244" width="12.28515625" style="37" customWidth="1"/>
    <col min="10245" max="10245" width="12.42578125" style="37" customWidth="1"/>
    <col min="10246" max="10246" width="15" style="37" bestFit="1" customWidth="1"/>
    <col min="10247" max="10247" width="11.85546875" style="37" customWidth="1"/>
    <col min="10248" max="10248" width="17.42578125" style="37" customWidth="1"/>
    <col min="10249" max="10249" width="12.28515625" style="37" bestFit="1" customWidth="1"/>
    <col min="10250" max="10496" width="9.140625" style="37"/>
    <col min="10497" max="10497" width="13.140625" style="37" customWidth="1"/>
    <col min="10498" max="10498" width="5.140625" style="37" customWidth="1"/>
    <col min="10499" max="10500" width="12.28515625" style="37" customWidth="1"/>
    <col min="10501" max="10501" width="12.42578125" style="37" customWidth="1"/>
    <col min="10502" max="10502" width="15" style="37" bestFit="1" customWidth="1"/>
    <col min="10503" max="10503" width="11.85546875" style="37" customWidth="1"/>
    <col min="10504" max="10504" width="17.42578125" style="37" customWidth="1"/>
    <col min="10505" max="10505" width="12.28515625" style="37" bestFit="1" customWidth="1"/>
    <col min="10506" max="10752" width="9.140625" style="37"/>
    <col min="10753" max="10753" width="13.140625" style="37" customWidth="1"/>
    <col min="10754" max="10754" width="5.140625" style="37" customWidth="1"/>
    <col min="10755" max="10756" width="12.28515625" style="37" customWidth="1"/>
    <col min="10757" max="10757" width="12.42578125" style="37" customWidth="1"/>
    <col min="10758" max="10758" width="15" style="37" bestFit="1" customWidth="1"/>
    <col min="10759" max="10759" width="11.85546875" style="37" customWidth="1"/>
    <col min="10760" max="10760" width="17.42578125" style="37" customWidth="1"/>
    <col min="10761" max="10761" width="12.28515625" style="37" bestFit="1" customWidth="1"/>
    <col min="10762" max="11008" width="9.140625" style="37"/>
    <col min="11009" max="11009" width="13.140625" style="37" customWidth="1"/>
    <col min="11010" max="11010" width="5.140625" style="37" customWidth="1"/>
    <col min="11011" max="11012" width="12.28515625" style="37" customWidth="1"/>
    <col min="11013" max="11013" width="12.42578125" style="37" customWidth="1"/>
    <col min="11014" max="11014" width="15" style="37" bestFit="1" customWidth="1"/>
    <col min="11015" max="11015" width="11.85546875" style="37" customWidth="1"/>
    <col min="11016" max="11016" width="17.42578125" style="37" customWidth="1"/>
    <col min="11017" max="11017" width="12.28515625" style="37" bestFit="1" customWidth="1"/>
    <col min="11018" max="11264" width="9.140625" style="37"/>
    <col min="11265" max="11265" width="13.140625" style="37" customWidth="1"/>
    <col min="11266" max="11266" width="5.140625" style="37" customWidth="1"/>
    <col min="11267" max="11268" width="12.28515625" style="37" customWidth="1"/>
    <col min="11269" max="11269" width="12.42578125" style="37" customWidth="1"/>
    <col min="11270" max="11270" width="15" style="37" bestFit="1" customWidth="1"/>
    <col min="11271" max="11271" width="11.85546875" style="37" customWidth="1"/>
    <col min="11272" max="11272" width="17.42578125" style="37" customWidth="1"/>
    <col min="11273" max="11273" width="12.28515625" style="37" bestFit="1" customWidth="1"/>
    <col min="11274" max="11520" width="9.140625" style="37"/>
    <col min="11521" max="11521" width="13.140625" style="37" customWidth="1"/>
    <col min="11522" max="11522" width="5.140625" style="37" customWidth="1"/>
    <col min="11523" max="11524" width="12.28515625" style="37" customWidth="1"/>
    <col min="11525" max="11525" width="12.42578125" style="37" customWidth="1"/>
    <col min="11526" max="11526" width="15" style="37" bestFit="1" customWidth="1"/>
    <col min="11527" max="11527" width="11.85546875" style="37" customWidth="1"/>
    <col min="11528" max="11528" width="17.42578125" style="37" customWidth="1"/>
    <col min="11529" max="11529" width="12.28515625" style="37" bestFit="1" customWidth="1"/>
    <col min="11530" max="11776" width="9.140625" style="37"/>
    <col min="11777" max="11777" width="13.140625" style="37" customWidth="1"/>
    <col min="11778" max="11778" width="5.140625" style="37" customWidth="1"/>
    <col min="11779" max="11780" width="12.28515625" style="37" customWidth="1"/>
    <col min="11781" max="11781" width="12.42578125" style="37" customWidth="1"/>
    <col min="11782" max="11782" width="15" style="37" bestFit="1" customWidth="1"/>
    <col min="11783" max="11783" width="11.85546875" style="37" customWidth="1"/>
    <col min="11784" max="11784" width="17.42578125" style="37" customWidth="1"/>
    <col min="11785" max="11785" width="12.28515625" style="37" bestFit="1" customWidth="1"/>
    <col min="11786" max="12032" width="9.140625" style="37"/>
    <col min="12033" max="12033" width="13.140625" style="37" customWidth="1"/>
    <col min="12034" max="12034" width="5.140625" style="37" customWidth="1"/>
    <col min="12035" max="12036" width="12.28515625" style="37" customWidth="1"/>
    <col min="12037" max="12037" width="12.42578125" style="37" customWidth="1"/>
    <col min="12038" max="12038" width="15" style="37" bestFit="1" customWidth="1"/>
    <col min="12039" max="12039" width="11.85546875" style="37" customWidth="1"/>
    <col min="12040" max="12040" width="17.42578125" style="37" customWidth="1"/>
    <col min="12041" max="12041" width="12.28515625" style="37" bestFit="1" customWidth="1"/>
    <col min="12042" max="12288" width="9.140625" style="37"/>
    <col min="12289" max="12289" width="13.140625" style="37" customWidth="1"/>
    <col min="12290" max="12290" width="5.140625" style="37" customWidth="1"/>
    <col min="12291" max="12292" width="12.28515625" style="37" customWidth="1"/>
    <col min="12293" max="12293" width="12.42578125" style="37" customWidth="1"/>
    <col min="12294" max="12294" width="15" style="37" bestFit="1" customWidth="1"/>
    <col min="12295" max="12295" width="11.85546875" style="37" customWidth="1"/>
    <col min="12296" max="12296" width="17.42578125" style="37" customWidth="1"/>
    <col min="12297" max="12297" width="12.28515625" style="37" bestFit="1" customWidth="1"/>
    <col min="12298" max="12544" width="9.140625" style="37"/>
    <col min="12545" max="12545" width="13.140625" style="37" customWidth="1"/>
    <col min="12546" max="12546" width="5.140625" style="37" customWidth="1"/>
    <col min="12547" max="12548" width="12.28515625" style="37" customWidth="1"/>
    <col min="12549" max="12549" width="12.42578125" style="37" customWidth="1"/>
    <col min="12550" max="12550" width="15" style="37" bestFit="1" customWidth="1"/>
    <col min="12551" max="12551" width="11.85546875" style="37" customWidth="1"/>
    <col min="12552" max="12552" width="17.42578125" style="37" customWidth="1"/>
    <col min="12553" max="12553" width="12.28515625" style="37" bestFit="1" customWidth="1"/>
    <col min="12554" max="12800" width="9.140625" style="37"/>
    <col min="12801" max="12801" width="13.140625" style="37" customWidth="1"/>
    <col min="12802" max="12802" width="5.140625" style="37" customWidth="1"/>
    <col min="12803" max="12804" width="12.28515625" style="37" customWidth="1"/>
    <col min="12805" max="12805" width="12.42578125" style="37" customWidth="1"/>
    <col min="12806" max="12806" width="15" style="37" bestFit="1" customWidth="1"/>
    <col min="12807" max="12807" width="11.85546875" style="37" customWidth="1"/>
    <col min="12808" max="12808" width="17.42578125" style="37" customWidth="1"/>
    <col min="12809" max="12809" width="12.28515625" style="37" bestFit="1" customWidth="1"/>
    <col min="12810" max="13056" width="9.140625" style="37"/>
    <col min="13057" max="13057" width="13.140625" style="37" customWidth="1"/>
    <col min="13058" max="13058" width="5.140625" style="37" customWidth="1"/>
    <col min="13059" max="13060" width="12.28515625" style="37" customWidth="1"/>
    <col min="13061" max="13061" width="12.42578125" style="37" customWidth="1"/>
    <col min="13062" max="13062" width="15" style="37" bestFit="1" customWidth="1"/>
    <col min="13063" max="13063" width="11.85546875" style="37" customWidth="1"/>
    <col min="13064" max="13064" width="17.42578125" style="37" customWidth="1"/>
    <col min="13065" max="13065" width="12.28515625" style="37" bestFit="1" customWidth="1"/>
    <col min="13066" max="13312" width="9.140625" style="37"/>
    <col min="13313" max="13313" width="13.140625" style="37" customWidth="1"/>
    <col min="13314" max="13314" width="5.140625" style="37" customWidth="1"/>
    <col min="13315" max="13316" width="12.28515625" style="37" customWidth="1"/>
    <col min="13317" max="13317" width="12.42578125" style="37" customWidth="1"/>
    <col min="13318" max="13318" width="15" style="37" bestFit="1" customWidth="1"/>
    <col min="13319" max="13319" width="11.85546875" style="37" customWidth="1"/>
    <col min="13320" max="13320" width="17.42578125" style="37" customWidth="1"/>
    <col min="13321" max="13321" width="12.28515625" style="37" bestFit="1" customWidth="1"/>
    <col min="13322" max="13568" width="9.140625" style="37"/>
    <col min="13569" max="13569" width="13.140625" style="37" customWidth="1"/>
    <col min="13570" max="13570" width="5.140625" style="37" customWidth="1"/>
    <col min="13571" max="13572" width="12.28515625" style="37" customWidth="1"/>
    <col min="13573" max="13573" width="12.42578125" style="37" customWidth="1"/>
    <col min="13574" max="13574" width="15" style="37" bestFit="1" customWidth="1"/>
    <col min="13575" max="13575" width="11.85546875" style="37" customWidth="1"/>
    <col min="13576" max="13576" width="17.42578125" style="37" customWidth="1"/>
    <col min="13577" max="13577" width="12.28515625" style="37" bestFit="1" customWidth="1"/>
    <col min="13578" max="13824" width="9.140625" style="37"/>
    <col min="13825" max="13825" width="13.140625" style="37" customWidth="1"/>
    <col min="13826" max="13826" width="5.140625" style="37" customWidth="1"/>
    <col min="13827" max="13828" width="12.28515625" style="37" customWidth="1"/>
    <col min="13829" max="13829" width="12.42578125" style="37" customWidth="1"/>
    <col min="13830" max="13830" width="15" style="37" bestFit="1" customWidth="1"/>
    <col min="13831" max="13831" width="11.85546875" style="37" customWidth="1"/>
    <col min="13832" max="13832" width="17.42578125" style="37" customWidth="1"/>
    <col min="13833" max="13833" width="12.28515625" style="37" bestFit="1" customWidth="1"/>
    <col min="13834" max="14080" width="9.140625" style="37"/>
    <col min="14081" max="14081" width="13.140625" style="37" customWidth="1"/>
    <col min="14082" max="14082" width="5.140625" style="37" customWidth="1"/>
    <col min="14083" max="14084" width="12.28515625" style="37" customWidth="1"/>
    <col min="14085" max="14085" width="12.42578125" style="37" customWidth="1"/>
    <col min="14086" max="14086" width="15" style="37" bestFit="1" customWidth="1"/>
    <col min="14087" max="14087" width="11.85546875" style="37" customWidth="1"/>
    <col min="14088" max="14088" width="17.42578125" style="37" customWidth="1"/>
    <col min="14089" max="14089" width="12.28515625" style="37" bestFit="1" customWidth="1"/>
    <col min="14090" max="14336" width="9.140625" style="37"/>
    <col min="14337" max="14337" width="13.140625" style="37" customWidth="1"/>
    <col min="14338" max="14338" width="5.140625" style="37" customWidth="1"/>
    <col min="14339" max="14340" width="12.28515625" style="37" customWidth="1"/>
    <col min="14341" max="14341" width="12.42578125" style="37" customWidth="1"/>
    <col min="14342" max="14342" width="15" style="37" bestFit="1" customWidth="1"/>
    <col min="14343" max="14343" width="11.85546875" style="37" customWidth="1"/>
    <col min="14344" max="14344" width="17.42578125" style="37" customWidth="1"/>
    <col min="14345" max="14345" width="12.28515625" style="37" bestFit="1" customWidth="1"/>
    <col min="14346" max="14592" width="9.140625" style="37"/>
    <col min="14593" max="14593" width="13.140625" style="37" customWidth="1"/>
    <col min="14594" max="14594" width="5.140625" style="37" customWidth="1"/>
    <col min="14595" max="14596" width="12.28515625" style="37" customWidth="1"/>
    <col min="14597" max="14597" width="12.42578125" style="37" customWidth="1"/>
    <col min="14598" max="14598" width="15" style="37" bestFit="1" customWidth="1"/>
    <col min="14599" max="14599" width="11.85546875" style="37" customWidth="1"/>
    <col min="14600" max="14600" width="17.42578125" style="37" customWidth="1"/>
    <col min="14601" max="14601" width="12.28515625" style="37" bestFit="1" customWidth="1"/>
    <col min="14602" max="14848" width="9.140625" style="37"/>
    <col min="14849" max="14849" width="13.140625" style="37" customWidth="1"/>
    <col min="14850" max="14850" width="5.140625" style="37" customWidth="1"/>
    <col min="14851" max="14852" width="12.28515625" style="37" customWidth="1"/>
    <col min="14853" max="14853" width="12.42578125" style="37" customWidth="1"/>
    <col min="14854" max="14854" width="15" style="37" bestFit="1" customWidth="1"/>
    <col min="14855" max="14855" width="11.85546875" style="37" customWidth="1"/>
    <col min="14856" max="14856" width="17.42578125" style="37" customWidth="1"/>
    <col min="14857" max="14857" width="12.28515625" style="37" bestFit="1" customWidth="1"/>
    <col min="14858" max="15104" width="9.140625" style="37"/>
    <col min="15105" max="15105" width="13.140625" style="37" customWidth="1"/>
    <col min="15106" max="15106" width="5.140625" style="37" customWidth="1"/>
    <col min="15107" max="15108" width="12.28515625" style="37" customWidth="1"/>
    <col min="15109" max="15109" width="12.42578125" style="37" customWidth="1"/>
    <col min="15110" max="15110" width="15" style="37" bestFit="1" customWidth="1"/>
    <col min="15111" max="15111" width="11.85546875" style="37" customWidth="1"/>
    <col min="15112" max="15112" width="17.42578125" style="37" customWidth="1"/>
    <col min="15113" max="15113" width="12.28515625" style="37" bestFit="1" customWidth="1"/>
    <col min="15114" max="15360" width="9.140625" style="37"/>
    <col min="15361" max="15361" width="13.140625" style="37" customWidth="1"/>
    <col min="15362" max="15362" width="5.140625" style="37" customWidth="1"/>
    <col min="15363" max="15364" width="12.28515625" style="37" customWidth="1"/>
    <col min="15365" max="15365" width="12.42578125" style="37" customWidth="1"/>
    <col min="15366" max="15366" width="15" style="37" bestFit="1" customWidth="1"/>
    <col min="15367" max="15367" width="11.85546875" style="37" customWidth="1"/>
    <col min="15368" max="15368" width="17.42578125" style="37" customWidth="1"/>
    <col min="15369" max="15369" width="12.28515625" style="37" bestFit="1" customWidth="1"/>
    <col min="15370" max="15616" width="9.140625" style="37"/>
    <col min="15617" max="15617" width="13.140625" style="37" customWidth="1"/>
    <col min="15618" max="15618" width="5.140625" style="37" customWidth="1"/>
    <col min="15619" max="15620" width="12.28515625" style="37" customWidth="1"/>
    <col min="15621" max="15621" width="12.42578125" style="37" customWidth="1"/>
    <col min="15622" max="15622" width="15" style="37" bestFit="1" customWidth="1"/>
    <col min="15623" max="15623" width="11.85546875" style="37" customWidth="1"/>
    <col min="15624" max="15624" width="17.42578125" style="37" customWidth="1"/>
    <col min="15625" max="15625" width="12.28515625" style="37" bestFit="1" customWidth="1"/>
    <col min="15626" max="15872" width="9.140625" style="37"/>
    <col min="15873" max="15873" width="13.140625" style="37" customWidth="1"/>
    <col min="15874" max="15874" width="5.140625" style="37" customWidth="1"/>
    <col min="15875" max="15876" width="12.28515625" style="37" customWidth="1"/>
    <col min="15877" max="15877" width="12.42578125" style="37" customWidth="1"/>
    <col min="15878" max="15878" width="15" style="37" bestFit="1" customWidth="1"/>
    <col min="15879" max="15879" width="11.85546875" style="37" customWidth="1"/>
    <col min="15880" max="15880" width="17.42578125" style="37" customWidth="1"/>
    <col min="15881" max="15881" width="12.28515625" style="37" bestFit="1" customWidth="1"/>
    <col min="15882" max="16128" width="9.140625" style="37"/>
    <col min="16129" max="16129" width="13.140625" style="37" customWidth="1"/>
    <col min="16130" max="16130" width="5.140625" style="37" customWidth="1"/>
    <col min="16131" max="16132" width="12.28515625" style="37" customWidth="1"/>
    <col min="16133" max="16133" width="12.42578125" style="37" customWidth="1"/>
    <col min="16134" max="16134" width="15" style="37" bestFit="1" customWidth="1"/>
    <col min="16135" max="16135" width="11.85546875" style="37" customWidth="1"/>
    <col min="16136" max="16136" width="17.42578125" style="37" customWidth="1"/>
    <col min="16137" max="16137" width="12.28515625" style="37" bestFit="1" customWidth="1"/>
    <col min="16138" max="16384" width="9.140625" style="37"/>
  </cols>
  <sheetData>
    <row r="1" spans="1:5" ht="18">
      <c r="A1" s="42" t="s">
        <v>410</v>
      </c>
    </row>
    <row r="3" spans="1:5" ht="15.75">
      <c r="A3" s="77" t="s">
        <v>411</v>
      </c>
      <c r="B3" s="78"/>
    </row>
    <row r="5" spans="1:5">
      <c r="B5" s="79" t="s">
        <v>412</v>
      </c>
      <c r="C5" s="80" t="s">
        <v>413</v>
      </c>
      <c r="D5" s="80" t="s">
        <v>414</v>
      </c>
      <c r="E5" s="78" t="s">
        <v>415</v>
      </c>
    </row>
    <row r="6" spans="1:5">
      <c r="A6" s="37" t="s">
        <v>416</v>
      </c>
      <c r="B6" s="81"/>
      <c r="C6" s="82">
        <v>10000000</v>
      </c>
      <c r="D6" s="82">
        <v>20000000</v>
      </c>
      <c r="E6" s="76">
        <f>0.5*C6+0.5*D6</f>
        <v>15000000</v>
      </c>
    </row>
    <row r="7" spans="1:5" ht="15">
      <c r="A7" s="37" t="s">
        <v>417</v>
      </c>
      <c r="B7" s="83" t="s">
        <v>418</v>
      </c>
      <c r="C7" s="84">
        <f>$B7*C6</f>
        <v>3000000</v>
      </c>
      <c r="D7" s="84">
        <f>$B7*D6</f>
        <v>6000000</v>
      </c>
      <c r="E7" s="84">
        <f>$B7*E6</f>
        <v>4500000</v>
      </c>
    </row>
    <row r="8" spans="1:5">
      <c r="A8" s="37" t="s">
        <v>419</v>
      </c>
      <c r="B8" s="81"/>
      <c r="C8" s="76">
        <f>C6-C7</f>
        <v>7000000</v>
      </c>
      <c r="D8" s="76">
        <f>D6-D7</f>
        <v>14000000</v>
      </c>
      <c r="E8" s="76">
        <f>E6-E7</f>
        <v>10500000</v>
      </c>
    </row>
    <row r="9" spans="1:5" ht="15">
      <c r="A9" s="37" t="s">
        <v>420</v>
      </c>
      <c r="B9" s="81"/>
      <c r="C9" s="84">
        <f>E9</f>
        <v>4500000</v>
      </c>
      <c r="D9" s="84">
        <f>E9</f>
        <v>4500000</v>
      </c>
      <c r="E9" s="84">
        <f>(0.6-B7)*E6</f>
        <v>4500000</v>
      </c>
    </row>
    <row r="10" spans="1:5">
      <c r="A10" s="37" t="s">
        <v>421</v>
      </c>
      <c r="B10" s="81"/>
      <c r="C10" s="76">
        <f>C8-C9</f>
        <v>2500000</v>
      </c>
      <c r="D10" s="76">
        <f>D8-D9</f>
        <v>9500000</v>
      </c>
      <c r="E10" s="76">
        <f>E8-E9</f>
        <v>6000000</v>
      </c>
    </row>
    <row r="11" spans="1:5" ht="15">
      <c r="A11" s="37" t="s">
        <v>296</v>
      </c>
      <c r="B11" s="81" t="s">
        <v>422</v>
      </c>
      <c r="C11" s="84">
        <f>$B11*$E22</f>
        <v>3000000.08</v>
      </c>
      <c r="D11" s="84">
        <f>$B11*$E22</f>
        <v>3000000.08</v>
      </c>
      <c r="E11" s="84">
        <f>$B11*$E22</f>
        <v>3000000.08</v>
      </c>
    </row>
    <row r="12" spans="1:5">
      <c r="A12" s="37" t="s">
        <v>423</v>
      </c>
      <c r="B12" s="81"/>
      <c r="C12" s="76">
        <f>C10-C11</f>
        <v>-500000.08000000007</v>
      </c>
      <c r="D12" s="76">
        <f>D10-D11</f>
        <v>6499999.9199999999</v>
      </c>
      <c r="E12" s="76">
        <f>E10-E11</f>
        <v>2999999.92</v>
      </c>
    </row>
    <row r="13" spans="1:5" ht="15">
      <c r="A13" s="37" t="s">
        <v>424</v>
      </c>
      <c r="B13" s="85" t="s">
        <v>418</v>
      </c>
      <c r="C13" s="84">
        <f>C12*$B13</f>
        <v>-150000.024</v>
      </c>
      <c r="D13" s="84">
        <f>D12*$B13</f>
        <v>1949999.9759999998</v>
      </c>
      <c r="E13" s="84">
        <f>E12*$B13</f>
        <v>899999.97599999991</v>
      </c>
    </row>
    <row r="14" spans="1:5">
      <c r="A14" s="37" t="s">
        <v>425</v>
      </c>
      <c r="B14" s="81"/>
      <c r="C14" s="76">
        <f>C12-C13</f>
        <v>-350000.0560000001</v>
      </c>
      <c r="D14" s="76">
        <f>D12-D13</f>
        <v>4549999.9440000001</v>
      </c>
      <c r="E14" s="76">
        <f>E12-E13</f>
        <v>2099999.9440000001</v>
      </c>
    </row>
    <row r="16" spans="1:5">
      <c r="A16" s="37" t="s">
        <v>426</v>
      </c>
      <c r="C16" s="86">
        <f>$E23/$E24*10000</f>
        <v>5000</v>
      </c>
      <c r="D16" s="86">
        <f>$E23/$E24*10000</f>
        <v>5000</v>
      </c>
      <c r="E16" s="86">
        <f>$E23/$E24*10000</f>
        <v>5000</v>
      </c>
    </row>
    <row r="17" spans="1:7">
      <c r="A17" s="37" t="s">
        <v>427</v>
      </c>
      <c r="C17" s="76">
        <f>C14/C16</f>
        <v>-70.000011200000017</v>
      </c>
      <c r="D17" s="76">
        <f>D14/D16</f>
        <v>909.99998879999998</v>
      </c>
      <c r="E17" s="76">
        <f>E14/E16</f>
        <v>419.99998880000004</v>
      </c>
    </row>
    <row r="18" spans="1:7" ht="15.75">
      <c r="A18" s="37" t="s">
        <v>428</v>
      </c>
    </row>
    <row r="20" spans="1:7" ht="15.75">
      <c r="A20" s="77" t="s">
        <v>429</v>
      </c>
      <c r="B20" s="78"/>
    </row>
    <row r="22" spans="1:7">
      <c r="A22" s="37" t="s">
        <v>430</v>
      </c>
      <c r="C22" s="76">
        <v>10000000</v>
      </c>
      <c r="D22" s="37" t="s">
        <v>431</v>
      </c>
      <c r="E22" s="82">
        <v>14000000</v>
      </c>
    </row>
    <row r="23" spans="1:7" ht="15">
      <c r="A23" s="37" t="s">
        <v>432</v>
      </c>
      <c r="C23" s="84">
        <v>18000000</v>
      </c>
      <c r="D23" s="37" t="s">
        <v>433</v>
      </c>
      <c r="E23" s="84">
        <f>28000000-E22</f>
        <v>14000000</v>
      </c>
    </row>
    <row r="24" spans="1:7">
      <c r="A24" s="37" t="s">
        <v>434</v>
      </c>
      <c r="C24" s="76">
        <f>C23+C22</f>
        <v>28000000</v>
      </c>
      <c r="D24" s="37" t="s">
        <v>435</v>
      </c>
      <c r="E24" s="76">
        <f>E23+E22</f>
        <v>28000000</v>
      </c>
    </row>
    <row r="26" spans="1:7">
      <c r="A26" s="37" t="s">
        <v>436</v>
      </c>
    </row>
    <row r="28" spans="1:7" ht="15.75">
      <c r="A28" s="77" t="s">
        <v>437</v>
      </c>
      <c r="B28" s="78"/>
    </row>
    <row r="30" spans="1:7">
      <c r="A30" s="37" t="s">
        <v>438</v>
      </c>
      <c r="C30" s="76">
        <f>E23/C16</f>
        <v>2800</v>
      </c>
    </row>
    <row r="31" spans="1:7" ht="15.75">
      <c r="A31" s="37" t="s">
        <v>439</v>
      </c>
      <c r="C31" s="76">
        <f>C14</f>
        <v>-350000.0560000001</v>
      </c>
      <c r="D31" s="37" t="s">
        <v>440</v>
      </c>
      <c r="E31" s="87">
        <f>D14</f>
        <v>4549999.9440000001</v>
      </c>
      <c r="F31" s="37" t="s">
        <v>441</v>
      </c>
      <c r="G31" s="87">
        <f>E14</f>
        <v>2099999.9440000001</v>
      </c>
    </row>
    <row r="32" spans="1:7" ht="15.75">
      <c r="A32" s="37" t="s">
        <v>442</v>
      </c>
      <c r="C32" s="88">
        <f>C14/$E$23</f>
        <v>-2.5000004000000006E-2</v>
      </c>
      <c r="D32" s="37" t="s">
        <v>443</v>
      </c>
      <c r="E32" s="88">
        <f>D14/$E$23</f>
        <v>0.32499999600000001</v>
      </c>
      <c r="F32" s="37" t="s">
        <v>444</v>
      </c>
      <c r="G32" s="88">
        <f>E14/$E$23</f>
        <v>0.149999996</v>
      </c>
    </row>
    <row r="33" spans="1:4" ht="14.25">
      <c r="A33" s="89" t="s">
        <v>445</v>
      </c>
      <c r="B33" s="39"/>
      <c r="C33" s="90">
        <f>SQRT((C32-G32)^2*0.5+(E32-G32)^2*0.5)</f>
        <v>0.17499999999999999</v>
      </c>
      <c r="D33" s="37" t="s">
        <v>446</v>
      </c>
    </row>
    <row r="34" spans="1:4">
      <c r="A34" s="37" t="s">
        <v>447</v>
      </c>
      <c r="C34" s="91">
        <f>(E$6-E$7)/E$10</f>
        <v>1.75</v>
      </c>
      <c r="D34" s="37" t="s">
        <v>448</v>
      </c>
    </row>
    <row r="35" spans="1:4">
      <c r="A35" s="37" t="s">
        <v>449</v>
      </c>
      <c r="C35" s="91">
        <f>(E$10/E$12)</f>
        <v>2.0000000533333346</v>
      </c>
    </row>
    <row r="36" spans="1:4">
      <c r="A36" s="37" t="s">
        <v>450</v>
      </c>
      <c r="C36" s="91">
        <f>(E$6-E$7)/E$10*(E$10/E$12)</f>
        <v>3.5000000933333357</v>
      </c>
    </row>
  </sheetData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Introduction</vt:lpstr>
      <vt:lpstr>FVA Due</vt:lpstr>
      <vt:lpstr>Saving for a House</vt:lpstr>
      <vt:lpstr>Bond Valuation</vt:lpstr>
      <vt:lpstr>Lottery PVA</vt:lpstr>
      <vt:lpstr>Mortgage Amortization</vt:lpstr>
      <vt:lpstr>Sally Mae PV</vt:lpstr>
      <vt:lpstr>PV Growing Perpetuity</vt:lpstr>
      <vt:lpstr>College Savings</vt:lpstr>
      <vt:lpstr>Geometric Expansions</vt:lpstr>
      <vt:lpstr>NAV and Fund Returns</vt:lpstr>
      <vt:lpstr>Geometric Returns</vt:lpstr>
      <vt:lpstr>IRR</vt:lpstr>
      <vt:lpstr>Yield To Maturity</vt:lpstr>
      <vt:lpstr>Exp. Return &amp; Variance</vt:lpstr>
      <vt:lpstr>ReturnStandardDeviation</vt:lpstr>
      <vt:lpstr>Covariance</vt:lpstr>
      <vt:lpstr>Returns Covariance</vt:lpstr>
      <vt:lpstr>Portfolio Possibility Frontier</vt:lpstr>
      <vt:lpstr>Diversification and Risk</vt:lpstr>
      <vt:lpstr>Efficient Frontier</vt:lpstr>
      <vt:lpstr>Beta</vt:lpstr>
      <vt:lpstr>Replacement Decision</vt:lpstr>
      <vt:lpstr>DOL and DFL Example</vt:lpstr>
    </vt:vector>
  </TitlesOfParts>
  <Company>Pace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John</cp:lastModifiedBy>
  <dcterms:created xsi:type="dcterms:W3CDTF">2002-02-01T15:05:39Z</dcterms:created>
  <dcterms:modified xsi:type="dcterms:W3CDTF">2015-07-16T18:57:10Z</dcterms:modified>
</cp:coreProperties>
</file>