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6470" yWindow="90" windowWidth="12120" windowHeight="9240" tabRatio="599"/>
  </bookViews>
  <sheets>
    <sheet name="Bond Valuation" sheetId="7" r:id="rId1"/>
    <sheet name="Yield To Maturity" sheetId="8" r:id="rId2"/>
    <sheet name="Fixed Income Arbitrage" sheetId="15" r:id="rId3"/>
    <sheet name="Fixed Income Dedication" sheetId="16" r:id="rId4"/>
    <sheet name="Bond Duration and Immunization" sheetId="17" r:id="rId5"/>
    <sheet name="Duration,Convexity&amp;Immunization" sheetId="18" r:id="rId6"/>
    <sheet name="Immunization Part 3" sheetId="19" r:id="rId7"/>
    <sheet name="Immunization Illustration 4" sheetId="35" r:id="rId8"/>
    <sheet name="Bootstrapping the Yield Curve" sheetId="9" r:id="rId9"/>
    <sheet name="The Yield Curve" sheetId="13" r:id="rId10"/>
    <sheet name="Yield Curves" sheetId="14" r:id="rId11"/>
  </sheets>
  <calcPr calcId="125725"/>
</workbook>
</file>

<file path=xl/calcChain.xml><?xml version="1.0" encoding="utf-8"?>
<calcChain xmlns="http://schemas.openxmlformats.org/spreadsheetml/2006/main">
  <c r="D20" i="16"/>
  <c r="D19"/>
  <c r="D18"/>
  <c r="C20"/>
  <c r="B19"/>
  <c r="A18"/>
  <c r="A18" a="1"/>
  <c r="C19" s="1"/>
  <c r="B12" i="35"/>
  <c r="B38" s="1"/>
  <c r="D46" s="1"/>
  <c r="E38"/>
  <c r="D48" s="1"/>
  <c r="E35"/>
  <c r="E36"/>
  <c r="E37"/>
  <c r="K5"/>
  <c r="B11"/>
  <c r="B37" s="1"/>
  <c r="C42" s="1"/>
  <c r="B10"/>
  <c r="B36" s="1"/>
  <c r="B42" s="1"/>
  <c r="B9"/>
  <c r="B35" s="1"/>
  <c r="A42" s="1"/>
  <c r="P23" i="14"/>
  <c r="E28" i="35"/>
  <c r="E27"/>
  <c r="B17"/>
  <c r="B22" s="1"/>
  <c r="A26" s="1" a="1"/>
  <c r="C17"/>
  <c r="C22" s="1"/>
  <c r="A17"/>
  <c r="B3"/>
  <c r="D4" i="17"/>
  <c r="E4" s="1"/>
  <c r="E9" s="1"/>
  <c r="D5"/>
  <c r="E5"/>
  <c r="D6"/>
  <c r="E6" s="1"/>
  <c r="D7"/>
  <c r="E7"/>
  <c r="D8"/>
  <c r="E8" s="1"/>
  <c r="A11"/>
  <c r="A13"/>
  <c r="A21"/>
  <c r="A21" a="1"/>
  <c r="B21" s="1"/>
  <c r="D21" s="1" a="1"/>
  <c r="A22"/>
  <c r="B22"/>
  <c r="D6" i="7"/>
  <c r="E6" s="1"/>
  <c r="E7" s="1"/>
  <c r="C7"/>
  <c r="C8" s="1"/>
  <c r="B11"/>
  <c r="D4" i="9"/>
  <c r="D5" s="1"/>
  <c r="E4"/>
  <c r="E5"/>
  <c r="E6"/>
  <c r="E7"/>
  <c r="E8"/>
  <c r="E9"/>
  <c r="E10"/>
  <c r="E11"/>
  <c r="E12"/>
  <c r="E13"/>
  <c r="E14"/>
  <c r="E15"/>
  <c r="E16"/>
  <c r="E17"/>
  <c r="E18"/>
  <c r="E19"/>
  <c r="D4" i="18"/>
  <c r="E4" s="1"/>
  <c r="D5"/>
  <c r="E5" s="1"/>
  <c r="F5" s="1"/>
  <c r="D6"/>
  <c r="E6" s="1"/>
  <c r="F6" s="1"/>
  <c r="D7"/>
  <c r="E7"/>
  <c r="F7" s="1"/>
  <c r="D8"/>
  <c r="E8" s="1"/>
  <c r="F8" s="1"/>
  <c r="A11"/>
  <c r="A12"/>
  <c r="A13"/>
  <c r="A14"/>
  <c r="B20" s="1"/>
  <c r="C18"/>
  <c r="C20"/>
  <c r="D24"/>
  <c r="B14" i="15" a="1"/>
  <c r="C16" s="1"/>
  <c r="B14" i="19"/>
  <c r="E11"/>
  <c r="B39" s="1"/>
  <c r="D47" s="1"/>
  <c r="B22"/>
  <c r="B43"/>
  <c r="C43"/>
  <c r="A17" i="13" a="1"/>
  <c r="B17" s="1"/>
  <c r="H19"/>
  <c r="D7" i="14" a="1"/>
  <c r="D7"/>
  <c r="G7" s="1" a="1"/>
  <c r="E8"/>
  <c r="D20" a="1"/>
  <c r="A42" a="1"/>
  <c r="A42"/>
  <c r="E42" s="1" a="1"/>
  <c r="B44"/>
  <c r="B10" i="8"/>
  <c r="A11"/>
  <c r="D8" i="14"/>
  <c r="E7"/>
  <c r="B43"/>
  <c r="B42"/>
  <c r="B16" i="19"/>
  <c r="A22"/>
  <c r="A25" s="1" a="1"/>
  <c r="C34"/>
  <c r="B18"/>
  <c r="C25" s="1"/>
  <c r="B44" i="35"/>
  <c r="C44"/>
  <c r="A44"/>
  <c r="D21" i="14"/>
  <c r="E22"/>
  <c r="F20"/>
  <c r="F22"/>
  <c r="E20"/>
  <c r="D22"/>
  <c r="B16" i="15"/>
  <c r="B15"/>
  <c r="C14"/>
  <c r="D16"/>
  <c r="F21" i="14"/>
  <c r="C42"/>
  <c r="C44"/>
  <c r="C43"/>
  <c r="A44"/>
  <c r="A43"/>
  <c r="D7" i="7"/>
  <c r="E21" i="14"/>
  <c r="D20"/>
  <c r="H20" s="1" a="1"/>
  <c r="A17" i="13"/>
  <c r="F4" i="9"/>
  <c r="E10" i="19"/>
  <c r="B35"/>
  <c r="E38"/>
  <c r="C45" s="1"/>
  <c r="E36"/>
  <c r="A45"/>
  <c r="E37"/>
  <c r="B45" s="1"/>
  <c r="B36"/>
  <c r="A43" s="1"/>
  <c r="A47" s="1" a="1"/>
  <c r="E18" i="16" l="1" a="1"/>
  <c r="A19"/>
  <c r="B20"/>
  <c r="C18"/>
  <c r="A20"/>
  <c r="B18"/>
  <c r="A49" i="19"/>
  <c r="C49"/>
  <c r="A47"/>
  <c r="C47"/>
  <c r="B48"/>
  <c r="B47"/>
  <c r="C48"/>
  <c r="A48"/>
  <c r="B49"/>
  <c r="D6" i="9"/>
  <c r="F5"/>
  <c r="H20" i="14"/>
  <c r="I20" s="1"/>
  <c r="H21"/>
  <c r="I21" s="1"/>
  <c r="K23" s="1"/>
  <c r="H22"/>
  <c r="I22" s="1"/>
  <c r="B25" i="19"/>
  <c r="A25"/>
  <c r="A26"/>
  <c r="B26"/>
  <c r="C9" i="7"/>
  <c r="D8"/>
  <c r="E8" s="1"/>
  <c r="D21" i="17"/>
  <c r="D22"/>
  <c r="A46" i="35" a="1"/>
  <c r="C26"/>
  <c r="B28"/>
  <c r="A26"/>
  <c r="B27"/>
  <c r="C28"/>
  <c r="B26"/>
  <c r="A28"/>
  <c r="C27"/>
  <c r="A27"/>
  <c r="E42" i="14"/>
  <c r="E44"/>
  <c r="F44" s="1"/>
  <c r="E43"/>
  <c r="F43" s="1"/>
  <c r="G8"/>
  <c r="H8" s="1"/>
  <c r="G7"/>
  <c r="H7" s="1"/>
  <c r="E9" i="18"/>
  <c r="F4"/>
  <c r="F9" s="1"/>
  <c r="A20" s="1"/>
  <c r="A22" s="1" a="1"/>
  <c r="A18" i="13"/>
  <c r="E17" s="1" a="1"/>
  <c r="B18"/>
  <c r="D14" i="15"/>
  <c r="B14"/>
  <c r="G17" i="35"/>
  <c r="G22" s="1"/>
  <c r="E26" s="1"/>
  <c r="E39" i="19"/>
  <c r="D49" s="1"/>
  <c r="D15" i="15"/>
  <c r="C15"/>
  <c r="E20" i="16" l="1"/>
  <c r="E18"/>
  <c r="E19"/>
  <c r="E18" i="13"/>
  <c r="H18" s="1"/>
  <c r="E17"/>
  <c r="H17" s="1"/>
  <c r="B53" i="14"/>
  <c r="F42"/>
  <c r="C24" i="18"/>
  <c r="B24"/>
  <c r="C22"/>
  <c r="B23"/>
  <c r="A24"/>
  <c r="A22"/>
  <c r="B22"/>
  <c r="A23"/>
  <c r="C23"/>
  <c r="K24" i="14"/>
  <c r="K25"/>
  <c r="F6" i="9"/>
  <c r="D7"/>
  <c r="H45" i="14"/>
  <c r="H46" s="1"/>
  <c r="F14" i="15" a="1"/>
  <c r="J9" i="14"/>
  <c r="C48" i="35"/>
  <c r="A48"/>
  <c r="A47"/>
  <c r="B47"/>
  <c r="B46"/>
  <c r="B48"/>
  <c r="C46"/>
  <c r="C47"/>
  <c r="A46"/>
  <c r="C10" i="7"/>
  <c r="D9"/>
  <c r="E9" s="1"/>
  <c r="H47" i="14"/>
  <c r="E47" i="19" a="1"/>
  <c r="G26" i="35" a="1"/>
  <c r="D25" i="19" a="1"/>
  <c r="D16" i="16" l="1"/>
  <c r="E24"/>
  <c r="E22"/>
  <c r="D14"/>
  <c r="D15"/>
  <c r="E23"/>
  <c r="E10" i="7"/>
  <c r="G26" i="35"/>
  <c r="G27"/>
  <c r="G28"/>
  <c r="D8" i="9"/>
  <c r="F7"/>
  <c r="E49" i="19"/>
  <c r="E48"/>
  <c r="E47"/>
  <c r="D10" i="7"/>
  <c r="C11"/>
  <c r="E46" i="35" a="1"/>
  <c r="E22" i="18" a="1"/>
  <c r="F14" i="15"/>
  <c r="F15"/>
  <c r="F16"/>
  <c r="D26" i="19"/>
  <c r="D25"/>
  <c r="F22" i="16" l="1" a="1"/>
  <c r="F14" a="1"/>
  <c r="E11" i="15"/>
  <c r="F19"/>
  <c r="E23" i="18"/>
  <c r="E24"/>
  <c r="E22"/>
  <c r="D11" i="7"/>
  <c r="E11" s="1"/>
  <c r="C12"/>
  <c r="D9" i="9"/>
  <c r="F8"/>
  <c r="E10" i="15"/>
  <c r="F18"/>
  <c r="F20"/>
  <c r="E12"/>
  <c r="E48" i="35"/>
  <c r="E46"/>
  <c r="E47"/>
  <c r="F14" i="16" l="1"/>
  <c r="F15"/>
  <c r="F16"/>
  <c r="F25"/>
  <c r="F22"/>
  <c r="F23"/>
  <c r="F24"/>
  <c r="E12" i="7"/>
  <c r="G18" i="15" a="1"/>
  <c r="F7"/>
  <c r="D12" i="7"/>
  <c r="C13"/>
  <c r="G10" i="15" a="1"/>
  <c r="D10" i="9"/>
  <c r="F9"/>
  <c r="C14" i="7" l="1"/>
  <c r="D13"/>
  <c r="E13" s="1"/>
  <c r="G11" i="15"/>
  <c r="G12"/>
  <c r="G10"/>
  <c r="G18"/>
  <c r="G20"/>
  <c r="G19"/>
  <c r="G21"/>
  <c r="F10" i="9"/>
  <c r="D11"/>
  <c r="C15" i="7" l="1"/>
  <c r="D14"/>
  <c r="E14" s="1"/>
  <c r="D12" i="9"/>
  <c r="F11"/>
  <c r="C16" i="7" l="1"/>
  <c r="D15"/>
  <c r="E15" s="1"/>
  <c r="F12" i="9"/>
  <c r="D13"/>
  <c r="D14" l="1"/>
  <c r="F13"/>
  <c r="C17" i="7"/>
  <c r="D16"/>
  <c r="E16" s="1"/>
  <c r="E17" l="1"/>
  <c r="F14" i="9"/>
  <c r="D15"/>
  <c r="D17" i="7"/>
  <c r="C18"/>
  <c r="D18" l="1"/>
  <c r="E18" s="1"/>
  <c r="C19"/>
  <c r="F15" i="9"/>
  <c r="D16"/>
  <c r="E19" i="7" l="1"/>
  <c r="D19"/>
  <c r="C20"/>
  <c r="D17" i="9"/>
  <c r="F16"/>
  <c r="E20" i="7" l="1"/>
  <c r="D20"/>
  <c r="C21"/>
  <c r="D18" i="9"/>
  <c r="F17"/>
  <c r="E21" i="7" l="1"/>
  <c r="C22"/>
  <c r="D21"/>
  <c r="F18" i="9"/>
  <c r="D19"/>
  <c r="F19" s="1"/>
  <c r="C23" i="7" l="1"/>
  <c r="D22"/>
  <c r="E22"/>
  <c r="D23" l="1"/>
  <c r="E23" s="1"/>
  <c r="C24"/>
  <c r="C25" l="1"/>
  <c r="D24"/>
  <c r="E24" s="1"/>
  <c r="E25" l="1"/>
  <c r="D25"/>
  <c r="C26"/>
  <c r="E26" l="1"/>
  <c r="D26"/>
  <c r="C27"/>
  <c r="D27" l="1"/>
  <c r="E27" s="1"/>
  <c r="C28"/>
  <c r="E28" l="1"/>
  <c r="D28"/>
  <c r="C29"/>
  <c r="E29" l="1"/>
  <c r="D29"/>
  <c r="C30"/>
  <c r="E30" l="1"/>
  <c r="D30"/>
  <c r="C31"/>
  <c r="D31" l="1"/>
  <c r="E31" s="1"/>
  <c r="C32"/>
  <c r="E32" l="1"/>
  <c r="D32"/>
  <c r="C33"/>
  <c r="E33" l="1"/>
  <c r="D33"/>
  <c r="C34"/>
  <c r="E34" l="1"/>
  <c r="D34"/>
  <c r="C35"/>
  <c r="C36" l="1"/>
  <c r="D35"/>
  <c r="E35" s="1"/>
  <c r="E36" l="1"/>
  <c r="C37"/>
  <c r="D36"/>
  <c r="D37" l="1"/>
  <c r="E37" s="1"/>
  <c r="C38"/>
  <c r="E38" l="1"/>
  <c r="D38"/>
  <c r="C39"/>
  <c r="C40" l="1"/>
  <c r="D39"/>
  <c r="E39" s="1"/>
  <c r="E40" l="1"/>
  <c r="C41"/>
  <c r="D40"/>
  <c r="D41" l="1"/>
  <c r="E41" s="1"/>
  <c r="C42"/>
  <c r="E42" l="1"/>
  <c r="D42"/>
  <c r="C43"/>
  <c r="C44" l="1"/>
  <c r="D43"/>
  <c r="E43" s="1"/>
  <c r="C45" l="1"/>
  <c r="D44"/>
  <c r="E44" s="1"/>
  <c r="E45" l="1"/>
  <c r="D45"/>
  <c r="C46"/>
  <c r="D46" l="1"/>
  <c r="E46" s="1"/>
  <c r="C47"/>
  <c r="C48" l="1"/>
  <c r="D47"/>
  <c r="E47" s="1"/>
  <c r="C49" l="1"/>
  <c r="D48"/>
  <c r="E48" s="1"/>
  <c r="E49" l="1"/>
  <c r="D49"/>
  <c r="C50"/>
  <c r="C51" l="1"/>
  <c r="D50"/>
  <c r="E50" s="1"/>
  <c r="D51" l="1"/>
  <c r="E51" s="1"/>
  <c r="C52"/>
  <c r="D52" l="1"/>
  <c r="E52" s="1"/>
  <c r="C53"/>
  <c r="D53" l="1"/>
  <c r="E53" s="1"/>
  <c r="C54"/>
  <c r="D54" l="1"/>
  <c r="E54" s="1"/>
  <c r="C55"/>
  <c r="C56" l="1"/>
  <c r="D55"/>
  <c r="E55" s="1"/>
  <c r="D56" l="1"/>
  <c r="E56" s="1"/>
  <c r="C57"/>
  <c r="E57" l="1"/>
  <c r="E58" s="1"/>
  <c r="B10" s="1"/>
  <c r="D57"/>
  <c r="C58"/>
  <c r="D58" s="1"/>
</calcChain>
</file>

<file path=xl/sharedStrings.xml><?xml version="1.0" encoding="utf-8"?>
<sst xmlns="http://schemas.openxmlformats.org/spreadsheetml/2006/main" count="418" uniqueCount="252">
  <si>
    <t>Bond A</t>
  </si>
  <si>
    <t>Bond B</t>
  </si>
  <si>
    <t>P0=1000</t>
  </si>
  <si>
    <t>F=1000</t>
  </si>
  <si>
    <t>c=.04</t>
  </si>
  <si>
    <t>n=2</t>
  </si>
  <si>
    <t>Original Cash Flow Matrix</t>
  </si>
  <si>
    <t>Inverse Matrix</t>
  </si>
  <si>
    <t>Price</t>
  </si>
  <si>
    <t>Vector</t>
  </si>
  <si>
    <t>Discount</t>
  </si>
  <si>
    <t>Functions</t>
  </si>
  <si>
    <t>Spot</t>
  </si>
  <si>
    <t>Rates</t>
  </si>
  <si>
    <t>y01</t>
  </si>
  <si>
    <t>y02</t>
  </si>
  <si>
    <t>y12</t>
  </si>
  <si>
    <t>Rate</t>
  </si>
  <si>
    <t>Forward</t>
  </si>
  <si>
    <t>c=.06</t>
  </si>
  <si>
    <t>Bond C</t>
  </si>
  <si>
    <t>c=0</t>
  </si>
  <si>
    <t>n=3</t>
  </si>
  <si>
    <t>y03</t>
  </si>
  <si>
    <t>y23</t>
  </si>
  <si>
    <t>y13</t>
  </si>
  <si>
    <t>Yield Curve Estimation with Coupon Bonds: Example 1</t>
  </si>
  <si>
    <t>Yield Curve Estimation with Coupon Bonds: Example 2</t>
  </si>
  <si>
    <t xml:space="preserve">             Inverse Matrix</t>
  </si>
  <si>
    <t>Fixed Income Arbitrage</t>
  </si>
  <si>
    <t>Fixed Income Portfolio Dedication</t>
  </si>
  <si>
    <t>^Original Cash Flow Matrix^</t>
  </si>
  <si>
    <t>^Inverse of Cash Flow Matrix^</t>
  </si>
  <si>
    <t>CF Time 0</t>
  </si>
  <si>
    <t>CF Time 1</t>
  </si>
  <si>
    <t>CF Time 2</t>
  </si>
  <si>
    <t>CF Time 3</t>
  </si>
  <si>
    <t>Solve for Bond D CFs</t>
  </si>
  <si>
    <t>Liability Outflows</t>
  </si>
  <si>
    <t># of each Bond</t>
  </si>
  <si>
    <t>^Cash Flow of each bond^</t>
  </si>
  <si>
    <t>Dedicated Port.Weights</t>
  </si>
  <si>
    <t>These</t>
  </si>
  <si>
    <t>are</t>
  </si>
  <si>
    <t>rounded</t>
  </si>
  <si>
    <t>Bond D</t>
  </si>
  <si>
    <t>F = 1000</t>
  </si>
  <si>
    <t>P0(D) should be:</t>
  </si>
  <si>
    <t>F</t>
  </si>
  <si>
    <t>c</t>
  </si>
  <si>
    <t>n</t>
  </si>
  <si>
    <t>y</t>
  </si>
  <si>
    <t>P(0)</t>
  </si>
  <si>
    <t>Bond Details</t>
  </si>
  <si>
    <t>t</t>
  </si>
  <si>
    <t>t*PV(CF(t))</t>
  </si>
  <si>
    <t>Bond Duration</t>
  </si>
  <si>
    <t>Duration of a second Bond (B)</t>
  </si>
  <si>
    <t>Durations of the 2 bonds</t>
  </si>
  <si>
    <t>1*w(A) + 1*w(B) must sum to 1</t>
  </si>
  <si>
    <t>Weight of Bond A</t>
  </si>
  <si>
    <t>Weight of Bond B</t>
  </si>
  <si>
    <t>Calculating Bond Duration and Immunized Portfolio Weights</t>
  </si>
  <si>
    <t>Calculating Duration</t>
  </si>
  <si>
    <t>Calculating Portfolio Weights for Immunization</t>
  </si>
  <si>
    <t>Calculating Bond Duration, Convexity and Immunized Portfolio Weights</t>
  </si>
  <si>
    <t>t*CF(t)</t>
  </si>
  <si>
    <t xml:space="preserve">    Bond Duration</t>
  </si>
  <si>
    <t>(t+1)*t*PV(CF(t))/(1+y)^2</t>
  </si>
  <si>
    <t xml:space="preserve">   Bond Convexity</t>
  </si>
  <si>
    <t>Convexity of a second Bond (B)</t>
  </si>
  <si>
    <t>Duration of Bond C</t>
  </si>
  <si>
    <t>Convexity of Bond C</t>
  </si>
  <si>
    <t>Durations of the 3 bonds</t>
  </si>
  <si>
    <t>Convexities of the 3 bonds</t>
  </si>
  <si>
    <t>Weight of Bond C</t>
  </si>
  <si>
    <t>1*w(A) + 1*w(B) + 1*w( C) must sum to 1</t>
  </si>
  <si>
    <t>k</t>
  </si>
  <si>
    <t>PV[CF(t)]</t>
  </si>
  <si>
    <t>Obtaining the Yield Curve</t>
  </si>
  <si>
    <t>Suppose that market prices of two two-year bonds are given to be 826.4 and 1005.</t>
  </si>
  <si>
    <t>The first bond is a zero coupon and the second is a 10% coupon issue. Assume that investors value bonds with</t>
  </si>
  <si>
    <t>present value frameworks. We set up two valuation equations with discount functions D1 and D2.</t>
  </si>
  <si>
    <t>We will first solve the following simple linear system for D1 and D2:</t>
  </si>
  <si>
    <t xml:space="preserve">    0D1 + 1000D2 =  826.4</t>
  </si>
  <si>
    <t>100D1 + 1100D2 = 1005</t>
  </si>
  <si>
    <t>This represents the coefficients matrix C. We will invert this matrix below.</t>
  </si>
  <si>
    <t>C</t>
  </si>
  <si>
    <t>The Price</t>
  </si>
  <si>
    <t>D1</t>
  </si>
  <si>
    <t>The discount</t>
  </si>
  <si>
    <t>D2</t>
  </si>
  <si>
    <t xml:space="preserve">     s</t>
  </si>
  <si>
    <t xml:space="preserve"> d</t>
  </si>
  <si>
    <t>Spot and Forward Rates</t>
  </si>
  <si>
    <t xml:space="preserve">     =</t>
  </si>
  <si>
    <t xml:space="preserve">     d</t>
  </si>
  <si>
    <r>
      <t xml:space="preserve">Vector </t>
    </r>
    <r>
      <rPr>
        <b/>
        <sz val="10"/>
        <rFont val="Arial"/>
        <family val="2"/>
      </rPr>
      <t>s</t>
    </r>
  </si>
  <si>
    <r>
      <t xml:space="preserve">Vector </t>
    </r>
    <r>
      <rPr>
        <b/>
        <sz val="10"/>
        <rFont val="Arial"/>
        <family val="2"/>
      </rPr>
      <t>d</t>
    </r>
  </si>
  <si>
    <r>
      <t>y</t>
    </r>
    <r>
      <rPr>
        <b/>
        <vertAlign val="subscript"/>
        <sz val="14"/>
        <rFont val="Arial"/>
        <family val="2"/>
      </rPr>
      <t>0,1</t>
    </r>
    <r>
      <rPr>
        <b/>
        <sz val="14"/>
        <rFont val="Arial"/>
        <family val="2"/>
      </rPr>
      <t xml:space="preserve"> =</t>
    </r>
  </si>
  <si>
    <r>
      <t>y</t>
    </r>
    <r>
      <rPr>
        <b/>
        <vertAlign val="subscript"/>
        <sz val="14"/>
        <rFont val="Arial"/>
        <family val="2"/>
      </rPr>
      <t>0,2</t>
    </r>
    <r>
      <rPr>
        <b/>
        <sz val="14"/>
        <rFont val="Arial"/>
        <family val="2"/>
      </rPr>
      <t xml:space="preserve"> =</t>
    </r>
  </si>
  <si>
    <r>
      <t>C</t>
    </r>
    <r>
      <rPr>
        <b/>
        <vertAlign val="superscript"/>
        <sz val="14"/>
        <rFont val="Arial"/>
        <family val="2"/>
      </rPr>
      <t>-1</t>
    </r>
  </si>
  <si>
    <r>
      <t>y</t>
    </r>
    <r>
      <rPr>
        <b/>
        <vertAlign val="subscript"/>
        <sz val="14"/>
        <rFont val="Arial"/>
        <family val="2"/>
      </rPr>
      <t>1,2</t>
    </r>
    <r>
      <rPr>
        <b/>
        <sz val="14"/>
        <rFont val="Arial"/>
        <family val="2"/>
      </rPr>
      <t xml:space="preserve"> =</t>
    </r>
  </si>
  <si>
    <t>c = .20</t>
  </si>
  <si>
    <t>n = 3</t>
  </si>
  <si>
    <t>Duration of some second Bond (B)</t>
  </si>
  <si>
    <t>Duration of the Liability Stream from Fixed Income Arbitrage Worksheet; Cells F19:F21</t>
  </si>
  <si>
    <t>Convexity of the Liability Stream from Fixed Income Arbitrage Worksheet; Cells F19:F21</t>
  </si>
  <si>
    <t>Liabilities</t>
  </si>
  <si>
    <t>?</t>
  </si>
  <si>
    <t>CF(1)=</t>
  </si>
  <si>
    <t>CF(2)=</t>
  </si>
  <si>
    <t>CF(3)</t>
  </si>
  <si>
    <t>We will first use Bonds A and B to immunize interest rate risk of liabilities based on Duration only.</t>
  </si>
  <si>
    <t>First, we will calculate the ytm of Bond A. Then, assuming a flat yield curve, we calculate the prices</t>
  </si>
  <si>
    <t xml:space="preserve">  of Bond B and of the liability stream.</t>
  </si>
  <si>
    <t>P(0)(B)=</t>
  </si>
  <si>
    <t>CF(1)</t>
  </si>
  <si>
    <t>P(0)(o)=</t>
  </si>
  <si>
    <t>CF(2)</t>
  </si>
  <si>
    <t>ytm(A)</t>
  </si>
  <si>
    <t>Next, we calculate the Durations of Bonds A and B and then the Duration of the liability stream.</t>
  </si>
  <si>
    <t>DURa</t>
  </si>
  <si>
    <t>DURb</t>
  </si>
  <si>
    <t>DURo</t>
  </si>
  <si>
    <t>Finally, we begin the process of computing the investment amounts in a portfolio comprised of Bonds</t>
  </si>
  <si>
    <t xml:space="preserve">   A and B such that the duration of the portfolio matches the duration of the liability stream. Note that</t>
  </si>
  <si>
    <t xml:space="preserve">   the total amount invested must sum to the value of the liability stream.</t>
  </si>
  <si>
    <t>Now, invert the matrix and solve for the amount of money to invest in each bond.</t>
  </si>
  <si>
    <t>Continuing to assume a flat yield curve, we calculate the price of Bond C:</t>
  </si>
  <si>
    <t xml:space="preserve">Value of Bond C = </t>
  </si>
  <si>
    <t>ytm(A) =</t>
  </si>
  <si>
    <t>= all spot and forward rates</t>
  </si>
  <si>
    <t>Convexitya</t>
  </si>
  <si>
    <t>Convexityb</t>
  </si>
  <si>
    <t>DURc</t>
  </si>
  <si>
    <t>Convexityc</t>
  </si>
  <si>
    <t>Convexityo</t>
  </si>
  <si>
    <t>We will now determine how much to invest in each of the three bonds to immunize portfolio risk based on both</t>
  </si>
  <si>
    <t xml:space="preserve">   Duration and Convexity. Note also that the total invested equals the PV of the liability stream.</t>
  </si>
  <si>
    <t>Finally, invert the matrix and solve.</t>
  </si>
  <si>
    <t>Bond Valuation Example</t>
  </si>
  <si>
    <t xml:space="preserve">We wish to value a 30-year 10% coupon bond with a face value equal to $1000. Assume a discount rate equal to 6%. </t>
  </si>
  <si>
    <t xml:space="preserve">     t</t>
  </si>
  <si>
    <t>PV Bond</t>
  </si>
  <si>
    <t>B9 is the sum of</t>
  </si>
  <si>
    <t xml:space="preserve">   discounted cash</t>
  </si>
  <si>
    <t xml:space="preserve">   flows on from the</t>
  </si>
  <si>
    <t xml:space="preserve">   bond.</t>
  </si>
  <si>
    <t>B10 is based on</t>
  </si>
  <si>
    <t xml:space="preserve">   the PV Annuity</t>
  </si>
  <si>
    <t xml:space="preserve">   as applied to bond</t>
  </si>
  <si>
    <t xml:space="preserve">   valuation.</t>
  </si>
  <si>
    <t>Yield to Maturity Example</t>
  </si>
  <si>
    <t>Guess for y</t>
  </si>
  <si>
    <t>Initial Bond Price</t>
  </si>
  <si>
    <t>Enter Bond data into Column B of the Yellow Region.  Revise your y estimate until you are sufficiently close to the bond's correct yield.</t>
  </si>
  <si>
    <t>Note: This calculator assumes that coupon payments are made annually beginning in one year.</t>
  </si>
  <si>
    <t>Bootstrapping The Yield Curve</t>
  </si>
  <si>
    <t>Bond #</t>
  </si>
  <si>
    <t>%Coupon</t>
  </si>
  <si>
    <t>Ask Price</t>
  </si>
  <si>
    <t>Spot Rate</t>
  </si>
  <si>
    <r>
      <t>D</t>
    </r>
    <r>
      <rPr>
        <b/>
        <u/>
        <vertAlign val="subscript"/>
        <sz val="10"/>
        <rFont val="Arial"/>
        <family val="2"/>
      </rPr>
      <t>t</t>
    </r>
  </si>
  <si>
    <t>Here we solve for the price of Bond B.</t>
  </si>
  <si>
    <t>= the fractional amount to invest in Bond A.</t>
  </si>
  <si>
    <t>= the fractional amount to invest in Bond B.</t>
  </si>
  <si>
    <t>These convexity</t>
  </si>
  <si>
    <t>figures are second</t>
  </si>
  <si>
    <t>derivativesdivided by</t>
  </si>
  <si>
    <t>the bond prices.</t>
  </si>
  <si>
    <t>= the fractional amount to invest in Bond C.</t>
  </si>
  <si>
    <t>Yield Curve Estimation with Coupon Bonds: Example 3</t>
  </si>
  <si>
    <t>c=.05</t>
  </si>
  <si>
    <t>The following illustrate computations for the example:</t>
  </si>
  <si>
    <t>Cash Flow Matrix</t>
  </si>
  <si>
    <t>P0=947.376</t>
  </si>
  <si>
    <t>P0=904.438</t>
  </si>
  <si>
    <t>P0=980.999</t>
  </si>
  <si>
    <t>This worksheet can also be used to value other bonds with n between 1 and 53 by changing values in the yellow table.</t>
  </si>
  <si>
    <t>t=1</t>
  </si>
  <si>
    <t>t=2</t>
  </si>
  <si>
    <t>t=3</t>
  </si>
  <si>
    <t>Use Bonds A, B</t>
  </si>
  <si>
    <t>and C to replicate</t>
  </si>
  <si>
    <t>Bond D:</t>
  </si>
  <si>
    <t>From Column F</t>
  </si>
  <si>
    <t>^Weights^</t>
  </si>
  <si>
    <t>^Bond D CFs^</t>
  </si>
  <si>
    <t>^Arb.Port.Weights^</t>
  </si>
  <si>
    <t>^Fixed Income Portfolio Cash Flows^</t>
  </si>
  <si>
    <t>&lt;Liability Cash Flows</t>
  </si>
  <si>
    <t>^#'s of Each Bond^</t>
  </si>
  <si>
    <t>=</t>
  </si>
  <si>
    <t>The Green sections</t>
  </si>
  <si>
    <t>deal with bond</t>
  </si>
  <si>
    <t>With three bonds, an infinite number</t>
  </si>
  <si>
    <t>of weights solutions are possible</t>
  </si>
  <si>
    <t>based on the duration and weights</t>
  </si>
  <si>
    <t>constraints. With a convexity</t>
  </si>
  <si>
    <t>constraint, only one of these</t>
  </si>
  <si>
    <t>solutions are feasible in a three-</t>
  </si>
  <si>
    <t>bond portfolio.</t>
  </si>
  <si>
    <t>Duration and Immunization</t>
  </si>
  <si>
    <t>Next, we introduce Bond C to the immunization process.</t>
  </si>
  <si>
    <t>convexity.</t>
  </si>
  <si>
    <t>The Green sections below deal with bond convexity.</t>
  </si>
  <si>
    <t>Duration of the Liability Stream from Fixed Income Dedication; Cells F14:F16</t>
  </si>
  <si>
    <t>Here we solve for the sum value of the firm's liabilities..</t>
  </si>
  <si>
    <t>Bond E</t>
  </si>
  <si>
    <t>Bond F</t>
  </si>
  <si>
    <t>Bond G</t>
  </si>
  <si>
    <t>The value of the liability stream is</t>
  </si>
  <si>
    <t>Next, we begin the process of computing the investment amounts in a portfolio comprised of Bonds</t>
  </si>
  <si>
    <t xml:space="preserve">   the total amount invested must sum to the value of the liability stream. Also, notice that</t>
  </si>
  <si>
    <t xml:space="preserve">   there are an infinity of solutions to our two-equation, three variable system.</t>
  </si>
  <si>
    <t>Now, we will ignore the investment constraint (10%) on Bond E, but will seek to match portfolio convexity as well as duration.</t>
  </si>
  <si>
    <t>W will work with durations and compute convexities for our bonds and liability outflow stream.</t>
  </si>
  <si>
    <t>We will use Bonds E, F and G to immunize interest rate risk of liabilities based on Duration only.</t>
  </si>
  <si>
    <t>Next, we calculate the Durations of Bonds E, F and G and then the Duration of the liability stream.</t>
  </si>
  <si>
    <t>ytm(B) =</t>
  </si>
  <si>
    <t>ytm(C) =</t>
  </si>
  <si>
    <t>y = .04 for all bonds; the yield curve is flat.</t>
  </si>
  <si>
    <t>DUR(A)</t>
  </si>
  <si>
    <t xml:space="preserve">   A, B and C such that the duration of the portfolio matches the duration of the liability stream. Note that</t>
  </si>
  <si>
    <t>DUR(B)</t>
  </si>
  <si>
    <t>DUR(C)</t>
  </si>
  <si>
    <t>DUR(L)</t>
  </si>
  <si>
    <t>wA</t>
  </si>
  <si>
    <t>wB</t>
  </si>
  <si>
    <t>wC</t>
  </si>
  <si>
    <t>Suppose that the manager already has invested $3781719.4 (wA = .10) into Bond A and wants</t>
  </si>
  <si>
    <t xml:space="preserve">   to hold this investment in Bond A constant. We solve for investment weights as follows:</t>
  </si>
  <si>
    <t>ConvexityL</t>
  </si>
  <si>
    <t>derivatives divided by</t>
  </si>
  <si>
    <t>ConvexityA</t>
  </si>
  <si>
    <t>ConvexityB</t>
  </si>
  <si>
    <t>ConvexityC</t>
  </si>
  <si>
    <t>P0=1055.5</t>
  </si>
  <si>
    <t>P0=889</t>
  </si>
  <si>
    <t>P0 = 1360</t>
  </si>
  <si>
    <t>Bond B*</t>
  </si>
  <si>
    <t>Bad Example</t>
  </si>
  <si>
    <t>Bond H</t>
  </si>
  <si>
    <t>c=.02</t>
  </si>
  <si>
    <t>c=.09</t>
  </si>
  <si>
    <t>P0=?</t>
  </si>
  <si>
    <t>is the price of Bond H</t>
  </si>
  <si>
    <t xml:space="preserve">              Liabilities</t>
  </si>
  <si>
    <t>Year 1</t>
  </si>
  <si>
    <t>Year 2</t>
  </si>
  <si>
    <t>Year 3</t>
  </si>
</sst>
</file>

<file path=xl/styles.xml><?xml version="1.0" encoding="utf-8"?>
<styleSheet xmlns="http://schemas.openxmlformats.org/spreadsheetml/2006/main">
  <numFmts count="1">
    <numFmt numFmtId="164" formatCode="0.0000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vertAlign val="subscript"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/>
    <xf numFmtId="0" fontId="15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45">
    <xf numFmtId="0" fontId="0" fillId="0" borderId="0" xfId="0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2" borderId="0" xfId="0" applyFill="1"/>
    <xf numFmtId="0" fontId="7" fillId="0" borderId="0" xfId="0" applyFont="1"/>
    <xf numFmtId="0" fontId="8" fillId="2" borderId="0" xfId="0" applyFont="1" applyFill="1"/>
    <xf numFmtId="0" fontId="0" fillId="0" borderId="0" xfId="0" quotePrefix="1"/>
    <xf numFmtId="0" fontId="9" fillId="0" borderId="0" xfId="0" applyFont="1"/>
    <xf numFmtId="3" fontId="0" fillId="0" borderId="0" xfId="0" applyNumberFormat="1"/>
    <xf numFmtId="0" fontId="0" fillId="0" borderId="0" xfId="0" applyNumberFormat="1"/>
    <xf numFmtId="0" fontId="5" fillId="0" borderId="0" xfId="0" quotePrefix="1" applyFont="1"/>
    <xf numFmtId="0" fontId="12" fillId="0" borderId="0" xfId="0" applyFont="1"/>
    <xf numFmtId="0" fontId="8" fillId="0" borderId="0" xfId="0" applyFont="1"/>
    <xf numFmtId="0" fontId="6" fillId="2" borderId="0" xfId="0" applyFont="1" applyFill="1"/>
    <xf numFmtId="0" fontId="0" fillId="0" borderId="0" xfId="0" applyFill="1"/>
    <xf numFmtId="0" fontId="5" fillId="2" borderId="0" xfId="0" applyFont="1" applyFill="1"/>
    <xf numFmtId="0" fontId="7" fillId="2" borderId="0" xfId="0" applyFont="1" applyFill="1"/>
    <xf numFmtId="0" fontId="13" fillId="0" borderId="0" xfId="0" applyFont="1"/>
    <xf numFmtId="0" fontId="13" fillId="0" borderId="0" xfId="0" applyNumberFormat="1" applyFont="1" applyAlignment="1">
      <alignment horizontal="center"/>
    </xf>
    <xf numFmtId="40" fontId="0" fillId="0" borderId="0" xfId="0" applyNumberFormat="1"/>
    <xf numFmtId="13" fontId="0" fillId="0" borderId="0" xfId="0" applyNumberFormat="1"/>
    <xf numFmtId="10" fontId="0" fillId="0" borderId="0" xfId="0" applyNumberFormat="1"/>
    <xf numFmtId="0" fontId="0" fillId="2" borderId="0" xfId="0" applyNumberForma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/>
    <xf numFmtId="0" fontId="0" fillId="3" borderId="0" xfId="0" applyNumberFormat="1" applyFill="1"/>
    <xf numFmtId="0" fontId="5" fillId="3" borderId="0" xfId="0" quotePrefix="1" applyFont="1" applyFill="1"/>
    <xf numFmtId="0" fontId="5" fillId="4" borderId="0" xfId="0" applyFont="1" applyFill="1"/>
    <xf numFmtId="0" fontId="7" fillId="0" borderId="0" xfId="6" applyFont="1"/>
    <xf numFmtId="0" fontId="6" fillId="0" borderId="0" xfId="6"/>
    <xf numFmtId="0" fontId="5" fillId="0" borderId="0" xfId="6" applyFont="1"/>
    <xf numFmtId="0" fontId="5" fillId="2" borderId="0" xfId="6" applyFont="1" applyFill="1"/>
    <xf numFmtId="0" fontId="5" fillId="0" borderId="0" xfId="6" applyFont="1" applyAlignment="1">
      <alignment horizontal="center"/>
    </xf>
    <xf numFmtId="0" fontId="6" fillId="2" borderId="0" xfId="6" applyFill="1"/>
    <xf numFmtId="0" fontId="6" fillId="2" borderId="0" xfId="6" applyFont="1" applyFill="1"/>
    <xf numFmtId="0" fontId="6" fillId="0" borderId="0" xfId="6" applyAlignment="1">
      <alignment horizontal="center"/>
    </xf>
    <xf numFmtId="0" fontId="12" fillId="0" borderId="0" xfId="6" applyFont="1"/>
    <xf numFmtId="0" fontId="5" fillId="0" borderId="0" xfId="6" quotePrefix="1" applyFont="1" applyAlignment="1">
      <alignment horizontal="center"/>
    </xf>
    <xf numFmtId="0" fontId="8" fillId="0" borderId="0" xfId="6" applyFont="1"/>
  </cellXfs>
  <cellStyles count="7">
    <cellStyle name="Normal" xfId="0" builtinId="0"/>
    <cellStyle name="Normal 11" xfId="6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Light16"/>
  <colors>
    <mruColors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978147283082686"/>
          <c:y val="9.124103850835158E-2"/>
          <c:w val="0.75669279551778301"/>
          <c:h val="0.67883332650213735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'Bootstrapping the Yield Curve'!$E$4:$E$19</c:f>
            </c:numRef>
          </c:xVal>
          <c:yVal>
            <c:numRef>
              <c:f>'Bootstrapping the Yield Curve'!$F$4:$F$19</c:f>
              <c:numCache>
                <c:formatCode>0.00%</c:formatCode>
                <c:ptCount val="16"/>
                <c:pt idx="0">
                  <c:v>2.941176470588247E-2</c:v>
                </c:pt>
                <c:pt idx="1">
                  <c:v>4.099529906704702E-2</c:v>
                </c:pt>
                <c:pt idx="2">
                  <c:v>4.4932742512162616E-2</c:v>
                </c:pt>
                <c:pt idx="3">
                  <c:v>4.6944626470767359E-2</c:v>
                </c:pt>
                <c:pt idx="4">
                  <c:v>4.7554989085895949E-2</c:v>
                </c:pt>
                <c:pt idx="5">
                  <c:v>4.7962095170871244E-2</c:v>
                </c:pt>
                <c:pt idx="6">
                  <c:v>4.8252982092236163E-2</c:v>
                </c:pt>
                <c:pt idx="7">
                  <c:v>4.8471200269375903E-2</c:v>
                </c:pt>
                <c:pt idx="8">
                  <c:v>5.0010668564737015E-2</c:v>
                </c:pt>
                <c:pt idx="9">
                  <c:v>5.0259336533132304E-2</c:v>
                </c:pt>
                <c:pt idx="10">
                  <c:v>5.0462835945934703E-2</c:v>
                </c:pt>
                <c:pt idx="11">
                  <c:v>5.0632448909958994E-2</c:v>
                </c:pt>
                <c:pt idx="12">
                  <c:v>5.1682650899392613E-2</c:v>
                </c:pt>
                <c:pt idx="13">
                  <c:v>5.1919258088300113E-2</c:v>
                </c:pt>
                <c:pt idx="14">
                  <c:v>5.2124360710201989E-2</c:v>
                </c:pt>
                <c:pt idx="15">
                  <c:v>5.3678228311992093E-2</c:v>
                </c:pt>
              </c:numCache>
            </c:numRef>
          </c:yVal>
          <c:smooth val="1"/>
        </c:ser>
        <c:axId val="152774144"/>
        <c:axId val="152811008"/>
      </c:scatterChart>
      <c:valAx>
        <c:axId val="152774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2311563244375658"/>
              <c:y val="0.86861467134126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11008"/>
        <c:crosses val="autoZero"/>
        <c:crossBetween val="midCat"/>
      </c:valAx>
      <c:valAx>
        <c:axId val="152811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Spot Rate</a:t>
                </a:r>
              </a:p>
            </c:rich>
          </c:tx>
          <c:layout>
            <c:manualLayout>
              <c:xMode val="edge"/>
              <c:yMode val="edge"/>
              <c:x val="3.8929440389294405E-2"/>
              <c:y val="0.32846791961223926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774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</xdr:row>
      <xdr:rowOff>66675</xdr:rowOff>
    </xdr:from>
    <xdr:to>
      <xdr:col>12</xdr:col>
      <xdr:colOff>57150</xdr:colOff>
      <xdr:row>18</xdr:row>
      <xdr:rowOff>66675</xdr:rowOff>
    </xdr:to>
    <xdr:graphicFrame macro="">
      <xdr:nvGraphicFramePr>
        <xdr:cNvPr id="8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tabSelected="1" workbookViewId="0">
      <selection activeCell="A9" sqref="A9"/>
    </sheetView>
  </sheetViews>
  <sheetFormatPr defaultRowHeight="12.75"/>
  <cols>
    <col min="1" max="1" width="8.7109375" customWidth="1"/>
    <col min="2" max="2" width="8.85546875" customWidth="1"/>
    <col min="3" max="3" width="4.85546875" customWidth="1"/>
  </cols>
  <sheetData>
    <row r="1" spans="1:12" ht="18">
      <c r="A1" s="6" t="s">
        <v>141</v>
      </c>
    </row>
    <row r="2" spans="1:12">
      <c r="A2" s="15" t="s">
        <v>142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15" t="s">
        <v>179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3" t="s">
        <v>53</v>
      </c>
      <c r="C4" s="3" t="s">
        <v>143</v>
      </c>
      <c r="D4" s="3" t="s">
        <v>78</v>
      </c>
    </row>
    <row r="5" spans="1:12">
      <c r="A5" s="5" t="s">
        <v>48</v>
      </c>
      <c r="B5" s="5">
        <v>1000</v>
      </c>
    </row>
    <row r="6" spans="1:12">
      <c r="A6" s="5" t="s">
        <v>49</v>
      </c>
      <c r="B6" s="5">
        <v>0.1</v>
      </c>
      <c r="C6">
        <v>1</v>
      </c>
      <c r="D6">
        <f t="shared" ref="D6:D37" si="0">IF(B$8&gt;C6,(B$6*B$5)/(1+B$7)^(C6),IF(B$8=C6,(B$6*B$5+B$5)/((1+B$7)^C6),0))</f>
        <v>94.339622641509436</v>
      </c>
      <c r="E6">
        <f>D6</f>
        <v>94.339622641509436</v>
      </c>
    </row>
    <row r="7" spans="1:12">
      <c r="A7" s="5" t="s">
        <v>77</v>
      </c>
      <c r="B7" s="5">
        <v>0.06</v>
      </c>
      <c r="C7">
        <f t="shared" ref="C7:C58" si="1">C6+1</f>
        <v>2</v>
      </c>
      <c r="D7">
        <f t="shared" si="0"/>
        <v>88.999644001423988</v>
      </c>
      <c r="E7">
        <f t="shared" ref="E7:E58" si="2">E6+D7</f>
        <v>183.33926664293341</v>
      </c>
    </row>
    <row r="8" spans="1:12">
      <c r="A8" s="5" t="s">
        <v>50</v>
      </c>
      <c r="B8" s="5">
        <v>30</v>
      </c>
      <c r="C8">
        <f t="shared" si="1"/>
        <v>3</v>
      </c>
      <c r="D8">
        <f t="shared" si="0"/>
        <v>83.961928303230167</v>
      </c>
      <c r="E8">
        <f t="shared" si="2"/>
        <v>267.3011949461636</v>
      </c>
    </row>
    <row r="9" spans="1:12">
      <c r="C9">
        <f t="shared" si="1"/>
        <v>4</v>
      </c>
      <c r="D9">
        <f t="shared" si="0"/>
        <v>79.209366323802044</v>
      </c>
      <c r="E9">
        <f t="shared" si="2"/>
        <v>346.51056126996565</v>
      </c>
    </row>
    <row r="10" spans="1:12">
      <c r="A10" s="14" t="s">
        <v>144</v>
      </c>
      <c r="B10" s="14">
        <f>E58</f>
        <v>1550.5932460595761</v>
      </c>
      <c r="C10">
        <f t="shared" si="1"/>
        <v>5</v>
      </c>
      <c r="D10">
        <f t="shared" si="0"/>
        <v>74.72581728660569</v>
      </c>
      <c r="E10">
        <f t="shared" si="2"/>
        <v>421.23637855657137</v>
      </c>
    </row>
    <row r="11" spans="1:12">
      <c r="A11" s="14" t="s">
        <v>144</v>
      </c>
      <c r="B11" s="14">
        <f>(B6*B5)/B7*((1-1/(1+B7)^B8))+B5/(1+B7)^B8</f>
        <v>1550.5932460595773</v>
      </c>
      <c r="C11">
        <f t="shared" si="1"/>
        <v>6</v>
      </c>
      <c r="D11">
        <f t="shared" si="0"/>
        <v>70.496054043967632</v>
      </c>
      <c r="E11">
        <f t="shared" si="2"/>
        <v>491.73243260053903</v>
      </c>
    </row>
    <row r="12" spans="1:12">
      <c r="C12">
        <f t="shared" si="1"/>
        <v>7</v>
      </c>
      <c r="D12">
        <f t="shared" si="0"/>
        <v>66.505711362233598</v>
      </c>
      <c r="E12">
        <f t="shared" si="2"/>
        <v>558.2381439627726</v>
      </c>
    </row>
    <row r="13" spans="1:12">
      <c r="A13" s="5" t="s">
        <v>145</v>
      </c>
      <c r="B13" s="5"/>
      <c r="C13">
        <f t="shared" si="1"/>
        <v>8</v>
      </c>
      <c r="D13">
        <f t="shared" si="0"/>
        <v>62.741237134182647</v>
      </c>
      <c r="E13">
        <f t="shared" si="2"/>
        <v>620.97938109695519</v>
      </c>
    </row>
    <row r="14" spans="1:12">
      <c r="A14" s="5" t="s">
        <v>146</v>
      </c>
      <c r="B14" s="5"/>
      <c r="C14">
        <f t="shared" si="1"/>
        <v>9</v>
      </c>
      <c r="D14">
        <f t="shared" si="0"/>
        <v>59.189846353002501</v>
      </c>
      <c r="E14">
        <f t="shared" si="2"/>
        <v>680.1692274499577</v>
      </c>
    </row>
    <row r="15" spans="1:12">
      <c r="A15" s="5" t="s">
        <v>147</v>
      </c>
      <c r="B15" s="5"/>
      <c r="C15">
        <f t="shared" si="1"/>
        <v>10</v>
      </c>
      <c r="D15">
        <f t="shared" si="0"/>
        <v>55.839477691511789</v>
      </c>
      <c r="E15">
        <f t="shared" si="2"/>
        <v>736.00870514146948</v>
      </c>
    </row>
    <row r="16" spans="1:12">
      <c r="A16" s="5" t="s">
        <v>148</v>
      </c>
      <c r="B16" s="5"/>
      <c r="C16">
        <f t="shared" si="1"/>
        <v>11</v>
      </c>
      <c r="D16">
        <f t="shared" si="0"/>
        <v>52.678752539162055</v>
      </c>
      <c r="E16">
        <f t="shared" si="2"/>
        <v>788.6874576806315</v>
      </c>
    </row>
    <row r="17" spans="1:5">
      <c r="A17" s="5" t="s">
        <v>149</v>
      </c>
      <c r="B17" s="5"/>
      <c r="C17">
        <f t="shared" si="1"/>
        <v>12</v>
      </c>
      <c r="D17">
        <f t="shared" si="0"/>
        <v>49.696936357700046</v>
      </c>
      <c r="E17">
        <f t="shared" si="2"/>
        <v>838.38439403833149</v>
      </c>
    </row>
    <row r="18" spans="1:5">
      <c r="A18" s="5" t="s">
        <v>150</v>
      </c>
      <c r="B18" s="5"/>
      <c r="C18">
        <f t="shared" si="1"/>
        <v>13</v>
      </c>
      <c r="D18">
        <f t="shared" si="0"/>
        <v>46.883902224245325</v>
      </c>
      <c r="E18">
        <f t="shared" si="2"/>
        <v>885.26829626257677</v>
      </c>
    </row>
    <row r="19" spans="1:5">
      <c r="A19" s="5" t="s">
        <v>151</v>
      </c>
      <c r="B19" s="5"/>
      <c r="C19">
        <f t="shared" si="1"/>
        <v>14</v>
      </c>
      <c r="D19">
        <f t="shared" si="0"/>
        <v>44.230096437967291</v>
      </c>
      <c r="E19">
        <f t="shared" si="2"/>
        <v>929.49839270054406</v>
      </c>
    </row>
    <row r="20" spans="1:5">
      <c r="A20" s="5" t="s">
        <v>152</v>
      </c>
      <c r="B20" s="5"/>
      <c r="C20">
        <f t="shared" si="1"/>
        <v>15</v>
      </c>
      <c r="D20">
        <f t="shared" si="0"/>
        <v>41.726506073554035</v>
      </c>
      <c r="E20">
        <f t="shared" si="2"/>
        <v>971.22489877409805</v>
      </c>
    </row>
    <row r="21" spans="1:5">
      <c r="C21">
        <f t="shared" si="1"/>
        <v>16</v>
      </c>
      <c r="D21">
        <f t="shared" si="0"/>
        <v>39.364628371277405</v>
      </c>
      <c r="E21">
        <f t="shared" si="2"/>
        <v>1010.5895271453754</v>
      </c>
    </row>
    <row r="22" spans="1:5">
      <c r="C22">
        <f t="shared" si="1"/>
        <v>17</v>
      </c>
      <c r="D22">
        <f t="shared" si="0"/>
        <v>37.136441859695658</v>
      </c>
      <c r="E22">
        <f t="shared" si="2"/>
        <v>1047.7259690050712</v>
      </c>
    </row>
    <row r="23" spans="1:5">
      <c r="C23">
        <f t="shared" si="1"/>
        <v>18</v>
      </c>
      <c r="D23">
        <f t="shared" si="0"/>
        <v>35.034379112920433</v>
      </c>
      <c r="E23">
        <f t="shared" si="2"/>
        <v>1082.7603481179917</v>
      </c>
    </row>
    <row r="24" spans="1:5">
      <c r="C24">
        <f t="shared" si="1"/>
        <v>19</v>
      </c>
      <c r="D24">
        <f t="shared" si="0"/>
        <v>33.05130104992493</v>
      </c>
      <c r="E24">
        <f t="shared" si="2"/>
        <v>1115.8116491679166</v>
      </c>
    </row>
    <row r="25" spans="1:5">
      <c r="C25">
        <f t="shared" si="1"/>
        <v>20</v>
      </c>
      <c r="D25">
        <f t="shared" si="0"/>
        <v>31.180472688608429</v>
      </c>
      <c r="E25">
        <f t="shared" si="2"/>
        <v>1146.992121856525</v>
      </c>
    </row>
    <row r="26" spans="1:5">
      <c r="C26">
        <f t="shared" si="1"/>
        <v>21</v>
      </c>
      <c r="D26">
        <f t="shared" si="0"/>
        <v>29.415540272272096</v>
      </c>
      <c r="E26">
        <f t="shared" si="2"/>
        <v>1176.4076621287973</v>
      </c>
    </row>
    <row r="27" spans="1:5">
      <c r="C27">
        <f t="shared" si="1"/>
        <v>22</v>
      </c>
      <c r="D27">
        <f t="shared" si="0"/>
        <v>27.750509690822732</v>
      </c>
      <c r="E27">
        <f t="shared" si="2"/>
        <v>1204.1581718196201</v>
      </c>
    </row>
    <row r="28" spans="1:5">
      <c r="C28">
        <f t="shared" si="1"/>
        <v>23</v>
      </c>
      <c r="D28">
        <f t="shared" si="0"/>
        <v>26.179726123417666</v>
      </c>
      <c r="E28">
        <f t="shared" si="2"/>
        <v>1230.3378979430377</v>
      </c>
    </row>
    <row r="29" spans="1:5">
      <c r="C29">
        <f t="shared" si="1"/>
        <v>24</v>
      </c>
      <c r="D29">
        <f t="shared" si="0"/>
        <v>24.697854833412897</v>
      </c>
      <c r="E29">
        <f t="shared" si="2"/>
        <v>1255.0357527764506</v>
      </c>
    </row>
    <row r="30" spans="1:5">
      <c r="C30">
        <f t="shared" si="1"/>
        <v>25</v>
      </c>
      <c r="D30">
        <f t="shared" si="0"/>
        <v>23.299863050389526</v>
      </c>
      <c r="E30">
        <f t="shared" si="2"/>
        <v>1278.3356158268402</v>
      </c>
    </row>
    <row r="31" spans="1:5">
      <c r="C31">
        <f t="shared" si="1"/>
        <v>26</v>
      </c>
      <c r="D31">
        <f t="shared" si="0"/>
        <v>21.981002877725967</v>
      </c>
      <c r="E31">
        <f t="shared" si="2"/>
        <v>1300.3166187045663</v>
      </c>
    </row>
    <row r="32" spans="1:5">
      <c r="C32">
        <f t="shared" si="1"/>
        <v>27</v>
      </c>
      <c r="D32">
        <f t="shared" si="0"/>
        <v>20.736795167666003</v>
      </c>
      <c r="E32">
        <f t="shared" si="2"/>
        <v>1321.0534138722323</v>
      </c>
    </row>
    <row r="33" spans="3:5">
      <c r="C33">
        <f t="shared" si="1"/>
        <v>28</v>
      </c>
      <c r="D33">
        <f t="shared" si="0"/>
        <v>19.56301430911887</v>
      </c>
      <c r="E33">
        <f t="shared" si="2"/>
        <v>1340.6164281813512</v>
      </c>
    </row>
    <row r="34" spans="3:5">
      <c r="C34">
        <f t="shared" si="1"/>
        <v>29</v>
      </c>
      <c r="D34">
        <f t="shared" si="0"/>
        <v>18.455673876527232</v>
      </c>
      <c r="E34">
        <f t="shared" si="2"/>
        <v>1359.0721020578785</v>
      </c>
    </row>
    <row r="35" spans="3:5">
      <c r="C35">
        <f t="shared" si="1"/>
        <v>30</v>
      </c>
      <c r="D35">
        <f t="shared" si="0"/>
        <v>191.52114400169771</v>
      </c>
      <c r="E35">
        <f t="shared" si="2"/>
        <v>1550.5932460595761</v>
      </c>
    </row>
    <row r="36" spans="3:5">
      <c r="C36">
        <f t="shared" si="1"/>
        <v>31</v>
      </c>
      <c r="D36">
        <f t="shared" si="0"/>
        <v>0</v>
      </c>
      <c r="E36">
        <f t="shared" si="2"/>
        <v>1550.5932460595761</v>
      </c>
    </row>
    <row r="37" spans="3:5">
      <c r="C37">
        <f t="shared" si="1"/>
        <v>32</v>
      </c>
      <c r="D37">
        <f t="shared" si="0"/>
        <v>0</v>
      </c>
      <c r="E37">
        <f t="shared" si="2"/>
        <v>1550.5932460595761</v>
      </c>
    </row>
    <row r="38" spans="3:5">
      <c r="C38">
        <f t="shared" si="1"/>
        <v>33</v>
      </c>
      <c r="D38">
        <f t="shared" ref="D38:D58" si="3">IF(B$8&gt;C38,(B$6*B$5)/(1+B$7)^(C38),IF(B$8=C38,(B$6*B$5+B$5)/((1+B$7)^C38),0))</f>
        <v>0</v>
      </c>
      <c r="E38">
        <f t="shared" si="2"/>
        <v>1550.5932460595761</v>
      </c>
    </row>
    <row r="39" spans="3:5">
      <c r="C39">
        <f t="shared" si="1"/>
        <v>34</v>
      </c>
      <c r="D39">
        <f t="shared" si="3"/>
        <v>0</v>
      </c>
      <c r="E39">
        <f t="shared" si="2"/>
        <v>1550.5932460595761</v>
      </c>
    </row>
    <row r="40" spans="3:5">
      <c r="C40">
        <f t="shared" si="1"/>
        <v>35</v>
      </c>
      <c r="D40">
        <f t="shared" si="3"/>
        <v>0</v>
      </c>
      <c r="E40">
        <f t="shared" si="2"/>
        <v>1550.5932460595761</v>
      </c>
    </row>
    <row r="41" spans="3:5">
      <c r="C41">
        <f t="shared" si="1"/>
        <v>36</v>
      </c>
      <c r="D41">
        <f t="shared" si="3"/>
        <v>0</v>
      </c>
      <c r="E41">
        <f t="shared" si="2"/>
        <v>1550.5932460595761</v>
      </c>
    </row>
    <row r="42" spans="3:5">
      <c r="C42">
        <f t="shared" si="1"/>
        <v>37</v>
      </c>
      <c r="D42">
        <f t="shared" si="3"/>
        <v>0</v>
      </c>
      <c r="E42">
        <f t="shared" si="2"/>
        <v>1550.5932460595761</v>
      </c>
    </row>
    <row r="43" spans="3:5">
      <c r="C43">
        <f t="shared" si="1"/>
        <v>38</v>
      </c>
      <c r="D43">
        <f t="shared" si="3"/>
        <v>0</v>
      </c>
      <c r="E43">
        <f t="shared" si="2"/>
        <v>1550.5932460595761</v>
      </c>
    </row>
    <row r="44" spans="3:5">
      <c r="C44">
        <f t="shared" si="1"/>
        <v>39</v>
      </c>
      <c r="D44">
        <f t="shared" si="3"/>
        <v>0</v>
      </c>
      <c r="E44">
        <f t="shared" si="2"/>
        <v>1550.5932460595761</v>
      </c>
    </row>
    <row r="45" spans="3:5">
      <c r="C45">
        <f t="shared" si="1"/>
        <v>40</v>
      </c>
      <c r="D45">
        <f t="shared" si="3"/>
        <v>0</v>
      </c>
      <c r="E45">
        <f t="shared" si="2"/>
        <v>1550.5932460595761</v>
      </c>
    </row>
    <row r="46" spans="3:5">
      <c r="C46">
        <f t="shared" si="1"/>
        <v>41</v>
      </c>
      <c r="D46">
        <f t="shared" si="3"/>
        <v>0</v>
      </c>
      <c r="E46">
        <f t="shared" si="2"/>
        <v>1550.5932460595761</v>
      </c>
    </row>
    <row r="47" spans="3:5">
      <c r="C47">
        <f t="shared" si="1"/>
        <v>42</v>
      </c>
      <c r="D47">
        <f t="shared" si="3"/>
        <v>0</v>
      </c>
      <c r="E47">
        <f t="shared" si="2"/>
        <v>1550.5932460595761</v>
      </c>
    </row>
    <row r="48" spans="3:5">
      <c r="C48">
        <f t="shared" si="1"/>
        <v>43</v>
      </c>
      <c r="D48">
        <f t="shared" si="3"/>
        <v>0</v>
      </c>
      <c r="E48">
        <f t="shared" si="2"/>
        <v>1550.5932460595761</v>
      </c>
    </row>
    <row r="49" spans="3:5">
      <c r="C49">
        <f t="shared" si="1"/>
        <v>44</v>
      </c>
      <c r="D49">
        <f t="shared" si="3"/>
        <v>0</v>
      </c>
      <c r="E49">
        <f t="shared" si="2"/>
        <v>1550.5932460595761</v>
      </c>
    </row>
    <row r="50" spans="3:5">
      <c r="C50">
        <f t="shared" si="1"/>
        <v>45</v>
      </c>
      <c r="D50">
        <f t="shared" si="3"/>
        <v>0</v>
      </c>
      <c r="E50">
        <f t="shared" si="2"/>
        <v>1550.5932460595761</v>
      </c>
    </row>
    <row r="51" spans="3:5">
      <c r="C51">
        <f t="shared" si="1"/>
        <v>46</v>
      </c>
      <c r="D51">
        <f t="shared" si="3"/>
        <v>0</v>
      </c>
      <c r="E51">
        <f t="shared" si="2"/>
        <v>1550.5932460595761</v>
      </c>
    </row>
    <row r="52" spans="3:5">
      <c r="C52">
        <f t="shared" si="1"/>
        <v>47</v>
      </c>
      <c r="D52">
        <f t="shared" si="3"/>
        <v>0</v>
      </c>
      <c r="E52">
        <f t="shared" si="2"/>
        <v>1550.5932460595761</v>
      </c>
    </row>
    <row r="53" spans="3:5">
      <c r="C53">
        <f t="shared" si="1"/>
        <v>48</v>
      </c>
      <c r="D53">
        <f t="shared" si="3"/>
        <v>0</v>
      </c>
      <c r="E53">
        <f t="shared" si="2"/>
        <v>1550.5932460595761</v>
      </c>
    </row>
    <row r="54" spans="3:5">
      <c r="C54">
        <f t="shared" si="1"/>
        <v>49</v>
      </c>
      <c r="D54">
        <f t="shared" si="3"/>
        <v>0</v>
      </c>
      <c r="E54">
        <f t="shared" si="2"/>
        <v>1550.5932460595761</v>
      </c>
    </row>
    <row r="55" spans="3:5">
      <c r="C55">
        <f t="shared" si="1"/>
        <v>50</v>
      </c>
      <c r="D55">
        <f t="shared" si="3"/>
        <v>0</v>
      </c>
      <c r="E55">
        <f t="shared" si="2"/>
        <v>1550.5932460595761</v>
      </c>
    </row>
    <row r="56" spans="3:5">
      <c r="C56">
        <f t="shared" si="1"/>
        <v>51</v>
      </c>
      <c r="D56">
        <f t="shared" si="3"/>
        <v>0</v>
      </c>
      <c r="E56">
        <f t="shared" si="2"/>
        <v>1550.5932460595761</v>
      </c>
    </row>
    <row r="57" spans="3:5">
      <c r="C57">
        <f t="shared" si="1"/>
        <v>52</v>
      </c>
      <c r="D57">
        <f t="shared" si="3"/>
        <v>0</v>
      </c>
      <c r="E57">
        <f t="shared" si="2"/>
        <v>1550.5932460595761</v>
      </c>
    </row>
    <row r="58" spans="3:5">
      <c r="C58">
        <f t="shared" si="1"/>
        <v>53</v>
      </c>
      <c r="D58">
        <f t="shared" si="3"/>
        <v>0</v>
      </c>
      <c r="E58">
        <f t="shared" si="2"/>
        <v>1550.5932460595761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A3" sqref="A3"/>
    </sheetView>
  </sheetViews>
  <sheetFormatPr defaultRowHeight="12.75"/>
  <cols>
    <col min="1" max="1" width="14.7109375" customWidth="1"/>
    <col min="2" max="2" width="8.85546875" customWidth="1"/>
    <col min="3" max="3" width="4.85546875" customWidth="1"/>
  </cols>
  <sheetData>
    <row r="1" spans="1:12" ht="18">
      <c r="A1" s="6" t="s">
        <v>153</v>
      </c>
    </row>
    <row r="2" spans="1:12">
      <c r="A2" s="15" t="s">
        <v>156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3" t="s">
        <v>53</v>
      </c>
      <c r="C3" s="3"/>
      <c r="D3" s="3"/>
    </row>
    <row r="4" spans="1:12">
      <c r="A4" s="5" t="s">
        <v>48</v>
      </c>
      <c r="B4" s="5">
        <v>1000</v>
      </c>
    </row>
    <row r="5" spans="1:12">
      <c r="A5" s="5" t="s">
        <v>49</v>
      </c>
      <c r="B5" s="5">
        <v>0.1</v>
      </c>
    </row>
    <row r="6" spans="1:12">
      <c r="A6" s="17" t="s">
        <v>154</v>
      </c>
      <c r="B6" s="17">
        <v>0.15</v>
      </c>
    </row>
    <row r="7" spans="1:12">
      <c r="A7" s="5" t="s">
        <v>50</v>
      </c>
      <c r="B7" s="5">
        <v>30</v>
      </c>
    </row>
    <row r="8" spans="1:12">
      <c r="A8" s="5" t="s">
        <v>155</v>
      </c>
      <c r="B8" s="5">
        <v>1000</v>
      </c>
    </row>
    <row r="10" spans="1:12">
      <c r="A10" s="3" t="s">
        <v>144</v>
      </c>
      <c r="B10" s="13">
        <f>(B5*B4)/B6*((1-1/(1+B6)^B7))+B4/(1+B6)^B7</f>
        <v>671.70101816462829</v>
      </c>
    </row>
    <row r="11" spans="1:12">
      <c r="A11" s="13" t="str">
        <f>IF(B10&gt;B8,"INCREASE YOUR y ESTIMATE",IF(B10=B8,"YOUR y ESTIMATE IS CORRECT","DECREASE YOUR y ESTIMATE"))</f>
        <v>DECREASE YOUR y ESTIMATE</v>
      </c>
      <c r="B11" s="3"/>
    </row>
    <row r="15" spans="1:12">
      <c r="A15" t="s">
        <v>157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E5" sqref="E5"/>
    </sheetView>
  </sheetViews>
  <sheetFormatPr defaultRowHeight="12.75"/>
  <cols>
    <col min="1" max="1" width="10.7109375" customWidth="1"/>
    <col min="2" max="2" width="10.140625" customWidth="1"/>
    <col min="3" max="3" width="10.7109375" customWidth="1"/>
    <col min="4" max="4" width="17.42578125" customWidth="1"/>
    <col min="5" max="5" width="14.5703125" customWidth="1"/>
    <col min="6" max="6" width="17.7109375" customWidth="1"/>
    <col min="7" max="7" width="10.140625" customWidth="1"/>
    <col min="8" max="8" width="9.5703125" customWidth="1"/>
  </cols>
  <sheetData>
    <row r="1" spans="1:8" ht="18">
      <c r="A1" s="6" t="s">
        <v>29</v>
      </c>
    </row>
    <row r="2" spans="1:8">
      <c r="B2" s="3"/>
    </row>
    <row r="3" spans="1:8">
      <c r="A3" s="17" t="s">
        <v>0</v>
      </c>
      <c r="B3" s="17" t="s">
        <v>1</v>
      </c>
      <c r="C3" s="17" t="s">
        <v>20</v>
      </c>
      <c r="D3" s="5" t="s">
        <v>183</v>
      </c>
      <c r="E3" s="17" t="s">
        <v>45</v>
      </c>
      <c r="F3" s="25"/>
    </row>
    <row r="4" spans="1:8">
      <c r="A4" s="5" t="s">
        <v>2</v>
      </c>
      <c r="B4" s="15" t="s">
        <v>238</v>
      </c>
      <c r="C4" s="15" t="s">
        <v>239</v>
      </c>
      <c r="D4" s="5" t="s">
        <v>184</v>
      </c>
      <c r="E4" s="17" t="s">
        <v>240</v>
      </c>
      <c r="F4" s="26"/>
    </row>
    <row r="5" spans="1:8">
      <c r="A5" s="5" t="s">
        <v>3</v>
      </c>
      <c r="B5" s="5" t="s">
        <v>3</v>
      </c>
      <c r="C5" s="5" t="s">
        <v>3</v>
      </c>
      <c r="D5" s="5" t="s">
        <v>185</v>
      </c>
      <c r="E5" s="17" t="s">
        <v>103</v>
      </c>
      <c r="F5" s="26"/>
    </row>
    <row r="6" spans="1:8">
      <c r="A6" s="5" t="s">
        <v>4</v>
      </c>
      <c r="B6" s="5" t="s">
        <v>19</v>
      </c>
      <c r="C6" s="5" t="s">
        <v>21</v>
      </c>
      <c r="D6" s="5"/>
      <c r="E6" s="17" t="s">
        <v>46</v>
      </c>
      <c r="F6" s="13" t="s">
        <v>47</v>
      </c>
    </row>
    <row r="7" spans="1:8">
      <c r="A7" s="5" t="s">
        <v>5</v>
      </c>
      <c r="B7" s="5" t="s">
        <v>22</v>
      </c>
      <c r="C7" s="5" t="s">
        <v>22</v>
      </c>
      <c r="D7" s="5"/>
      <c r="E7" s="17" t="s">
        <v>104</v>
      </c>
      <c r="F7" s="13">
        <f>MMULT(B18:D18,F18:F20)</f>
        <v>1444</v>
      </c>
    </row>
    <row r="8" spans="1:8">
      <c r="B8" s="3"/>
      <c r="G8" s="14"/>
    </row>
    <row r="9" spans="1:8">
      <c r="B9" s="27" t="s">
        <v>0</v>
      </c>
      <c r="C9" s="27" t="s">
        <v>1</v>
      </c>
      <c r="D9" s="28" t="s">
        <v>20</v>
      </c>
      <c r="E9" s="17" t="s">
        <v>186</v>
      </c>
      <c r="G9" s="14"/>
    </row>
    <row r="10" spans="1:8">
      <c r="A10" s="25" t="s">
        <v>180</v>
      </c>
      <c r="B10" s="26">
        <v>40</v>
      </c>
      <c r="C10" s="26">
        <v>60</v>
      </c>
      <c r="D10" s="26">
        <v>0</v>
      </c>
      <c r="E10">
        <f>F14</f>
        <v>0</v>
      </c>
      <c r="G10">
        <f t="array" ref="G10:G12">MMULT(B10:D12,E10:E12)</f>
        <v>199.99999999999997</v>
      </c>
    </row>
    <row r="11" spans="1:8">
      <c r="A11" s="25" t="s">
        <v>181</v>
      </c>
      <c r="B11" s="26">
        <v>1040</v>
      </c>
      <c r="C11" s="26">
        <v>60</v>
      </c>
      <c r="D11" s="26">
        <v>0</v>
      </c>
      <c r="E11">
        <f>F15</f>
        <v>3.333333333333333</v>
      </c>
      <c r="G11">
        <v>199.99999999999997</v>
      </c>
    </row>
    <row r="12" spans="1:8">
      <c r="A12" s="25" t="s">
        <v>182</v>
      </c>
      <c r="B12" s="26">
        <v>0</v>
      </c>
      <c r="C12" s="26">
        <v>1060</v>
      </c>
      <c r="D12" s="26">
        <v>1000</v>
      </c>
      <c r="E12">
        <f>F16</f>
        <v>-2.333333333333333</v>
      </c>
      <c r="G12">
        <v>1200</v>
      </c>
    </row>
    <row r="13" spans="1:8">
      <c r="B13" s="3" t="s">
        <v>31</v>
      </c>
      <c r="E13" s="3" t="s">
        <v>187</v>
      </c>
      <c r="G13" s="17" t="s">
        <v>37</v>
      </c>
      <c r="H13" s="5"/>
    </row>
    <row r="14" spans="1:8">
      <c r="B14">
        <f t="array" ref="B14:D16">MINVERSE(B10:D12)</f>
        <v>-1E-3</v>
      </c>
      <c r="C14">
        <v>1E-3</v>
      </c>
      <c r="D14">
        <v>0</v>
      </c>
      <c r="E14">
        <v>200</v>
      </c>
      <c r="F14">
        <f t="array" ref="F14:F16">MMULT(B14:D16,E14:E16)</f>
        <v>0</v>
      </c>
    </row>
    <row r="15" spans="1:8">
      <c r="B15">
        <v>1.7333333333333333E-2</v>
      </c>
      <c r="C15">
        <v>-6.6666666666666664E-4</v>
      </c>
      <c r="D15">
        <v>0</v>
      </c>
      <c r="E15">
        <v>200</v>
      </c>
      <c r="F15">
        <v>3.333333333333333</v>
      </c>
    </row>
    <row r="16" spans="1:8">
      <c r="B16">
        <v>-1.8373333333333332E-2</v>
      </c>
      <c r="C16">
        <v>7.0666666666666664E-4</v>
      </c>
      <c r="D16">
        <v>1E-3</v>
      </c>
      <c r="E16">
        <v>1200</v>
      </c>
      <c r="F16">
        <v>-2.333333333333333</v>
      </c>
    </row>
    <row r="17" spans="2:8">
      <c r="B17" s="3" t="s">
        <v>32</v>
      </c>
      <c r="E17" s="3" t="s">
        <v>188</v>
      </c>
      <c r="F17" s="3" t="s">
        <v>187</v>
      </c>
    </row>
    <row r="18" spans="2:8">
      <c r="B18">
        <v>-1000</v>
      </c>
      <c r="C18">
        <v>-1055.5</v>
      </c>
      <c r="D18">
        <v>-889</v>
      </c>
      <c r="E18">
        <v>-1360</v>
      </c>
      <c r="F18">
        <f>-F14</f>
        <v>0</v>
      </c>
      <c r="G18">
        <f t="array" ref="G18:G21">MMULT(B18:E21,F18:F21)</f>
        <v>84</v>
      </c>
      <c r="H18" s="17" t="s">
        <v>33</v>
      </c>
    </row>
    <row r="19" spans="2:8">
      <c r="B19">
        <v>40</v>
      </c>
      <c r="C19">
        <v>60</v>
      </c>
      <c r="D19">
        <v>0</v>
      </c>
      <c r="E19">
        <v>200</v>
      </c>
      <c r="F19">
        <f>-F15</f>
        <v>-3.333333333333333</v>
      </c>
      <c r="G19">
        <v>2.8421709430404007E-14</v>
      </c>
      <c r="H19" s="17" t="s">
        <v>34</v>
      </c>
    </row>
    <row r="20" spans="2:8">
      <c r="B20">
        <v>1040</v>
      </c>
      <c r="C20">
        <v>60</v>
      </c>
      <c r="D20">
        <v>0</v>
      </c>
      <c r="E20">
        <v>200</v>
      </c>
      <c r="F20">
        <f>-F16</f>
        <v>2.333333333333333</v>
      </c>
      <c r="G20">
        <v>2.8421709430404007E-14</v>
      </c>
      <c r="H20" s="17" t="s">
        <v>35</v>
      </c>
    </row>
    <row r="21" spans="2:8">
      <c r="B21">
        <v>0</v>
      </c>
      <c r="C21">
        <v>1060</v>
      </c>
      <c r="D21">
        <v>1000</v>
      </c>
      <c r="E21">
        <v>1200</v>
      </c>
      <c r="F21">
        <v>1</v>
      </c>
      <c r="G21">
        <v>0</v>
      </c>
      <c r="H21" s="17" t="s">
        <v>36</v>
      </c>
    </row>
    <row r="22" spans="2:8">
      <c r="C22" s="3" t="s">
        <v>40</v>
      </c>
      <c r="F22" s="3" t="s">
        <v>189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B30" sqref="B30"/>
    </sheetView>
  </sheetViews>
  <sheetFormatPr defaultRowHeight="12.75"/>
  <cols>
    <col min="1" max="1" width="11.42578125" customWidth="1"/>
    <col min="2" max="2" width="12.42578125" customWidth="1"/>
    <col min="3" max="3" width="12.140625" customWidth="1"/>
    <col min="4" max="4" width="15.140625" customWidth="1"/>
    <col min="5" max="5" width="14.28515625" customWidth="1"/>
    <col min="6" max="6" width="12.85546875" customWidth="1"/>
    <col min="7" max="7" width="10.140625" customWidth="1"/>
  </cols>
  <sheetData>
    <row r="1" spans="1:9" ht="18">
      <c r="A1" s="34" t="s">
        <v>30</v>
      </c>
      <c r="B1" s="35"/>
      <c r="C1" s="35"/>
      <c r="D1" s="35"/>
      <c r="E1" s="35"/>
      <c r="F1" s="35"/>
      <c r="G1" s="35"/>
      <c r="H1" s="35"/>
    </row>
    <row r="2" spans="1:9">
      <c r="A2" s="35"/>
      <c r="B2" s="36"/>
      <c r="C2" s="35"/>
      <c r="D2" s="35"/>
      <c r="E2" s="35"/>
      <c r="F2" s="35"/>
      <c r="G2" s="35"/>
      <c r="H2" s="36"/>
    </row>
    <row r="3" spans="1:9">
      <c r="A3" s="37" t="s">
        <v>0</v>
      </c>
      <c r="B3" s="37" t="s">
        <v>1</v>
      </c>
      <c r="C3" s="37" t="s">
        <v>20</v>
      </c>
      <c r="D3" s="38"/>
      <c r="E3" s="38" t="s">
        <v>248</v>
      </c>
      <c r="F3" s="38"/>
      <c r="G3" s="35"/>
      <c r="H3" s="36"/>
    </row>
    <row r="4" spans="1:9">
      <c r="A4" s="39" t="s">
        <v>2</v>
      </c>
      <c r="B4" s="40" t="s">
        <v>238</v>
      </c>
      <c r="C4" s="40" t="s">
        <v>239</v>
      </c>
      <c r="D4" s="41"/>
      <c r="E4" s="38" t="s">
        <v>249</v>
      </c>
      <c r="F4" s="41">
        <v>12000000</v>
      </c>
      <c r="G4" s="35"/>
      <c r="H4" s="36"/>
    </row>
    <row r="5" spans="1:9">
      <c r="A5" s="39" t="s">
        <v>3</v>
      </c>
      <c r="B5" s="39" t="s">
        <v>3</v>
      </c>
      <c r="C5" s="39" t="s">
        <v>3</v>
      </c>
      <c r="D5" s="41"/>
      <c r="E5" s="38" t="s">
        <v>250</v>
      </c>
      <c r="F5" s="41">
        <v>14000000</v>
      </c>
      <c r="G5" s="35"/>
      <c r="H5" s="36"/>
    </row>
    <row r="6" spans="1:9">
      <c r="A6" s="39" t="s">
        <v>4</v>
      </c>
      <c r="B6" s="39" t="s">
        <v>19</v>
      </c>
      <c r="C6" s="39" t="s">
        <v>21</v>
      </c>
      <c r="D6" s="41"/>
      <c r="E6" s="38" t="s">
        <v>251</v>
      </c>
      <c r="F6" s="41">
        <v>15000000</v>
      </c>
      <c r="G6" s="35"/>
      <c r="H6" s="36"/>
    </row>
    <row r="7" spans="1:9">
      <c r="A7" s="39" t="s">
        <v>5</v>
      </c>
      <c r="B7" s="39" t="s">
        <v>22</v>
      </c>
      <c r="C7" s="39" t="s">
        <v>22</v>
      </c>
      <c r="D7" s="35"/>
      <c r="E7" s="35"/>
      <c r="F7" s="35"/>
      <c r="G7" s="35"/>
      <c r="H7" s="35"/>
    </row>
    <row r="8" spans="1:9">
      <c r="A8" s="35"/>
      <c r="B8" s="36"/>
      <c r="C8" s="35"/>
      <c r="D8" s="35"/>
      <c r="E8" s="35"/>
      <c r="F8" s="35"/>
      <c r="G8" s="35"/>
      <c r="H8" s="42"/>
      <c r="I8" s="14"/>
    </row>
    <row r="9" spans="1:9">
      <c r="A9" s="35"/>
      <c r="B9" s="35"/>
      <c r="C9" s="35"/>
      <c r="D9" s="36" t="s">
        <v>29</v>
      </c>
      <c r="E9" s="35"/>
      <c r="F9" s="35"/>
      <c r="G9" s="35"/>
      <c r="H9" s="42"/>
      <c r="I9" s="14"/>
    </row>
    <row r="10" spans="1:9">
      <c r="A10" s="38" t="s">
        <v>180</v>
      </c>
      <c r="B10" s="35">
        <v>40</v>
      </c>
      <c r="C10" s="35">
        <v>60</v>
      </c>
      <c r="D10" s="35">
        <v>0</v>
      </c>
      <c r="E10" s="35"/>
      <c r="F10" s="35"/>
      <c r="G10" s="35"/>
      <c r="H10" s="35"/>
    </row>
    <row r="11" spans="1:9">
      <c r="A11" s="38" t="s">
        <v>181</v>
      </c>
      <c r="B11" s="35">
        <v>1040</v>
      </c>
      <c r="C11" s="35">
        <v>60</v>
      </c>
      <c r="D11" s="35">
        <v>0</v>
      </c>
      <c r="E11" s="35"/>
      <c r="F11" s="35"/>
      <c r="G11" s="35"/>
      <c r="H11" s="35"/>
    </row>
    <row r="12" spans="1:9">
      <c r="A12" s="38" t="s">
        <v>182</v>
      </c>
      <c r="B12" s="35">
        <v>0</v>
      </c>
      <c r="C12" s="35">
        <v>1060</v>
      </c>
      <c r="D12" s="35">
        <v>1000</v>
      </c>
      <c r="E12" s="35"/>
      <c r="F12" s="35"/>
      <c r="G12" s="35"/>
      <c r="H12" s="35"/>
    </row>
    <row r="13" spans="1:9">
      <c r="A13" s="35"/>
      <c r="B13" s="36" t="s">
        <v>190</v>
      </c>
      <c r="C13" s="35"/>
      <c r="D13" s="35"/>
      <c r="E13" s="35"/>
      <c r="F13" s="35"/>
      <c r="G13" s="35"/>
      <c r="H13" s="35"/>
    </row>
    <row r="14" spans="1:9">
      <c r="A14" s="35">
        <v>40</v>
      </c>
      <c r="B14" s="35">
        <v>60</v>
      </c>
      <c r="C14" s="35">
        <v>0</v>
      </c>
      <c r="D14" s="35">
        <f>E18</f>
        <v>2000</v>
      </c>
      <c r="E14" s="35"/>
      <c r="F14" s="35">
        <f t="array" ref="F14:F16">MMULT(A14:C16,D14:D16)</f>
        <v>12000000</v>
      </c>
      <c r="G14" s="36" t="s">
        <v>191</v>
      </c>
      <c r="H14" s="35"/>
    </row>
    <row r="15" spans="1:9">
      <c r="A15" s="35">
        <v>1040</v>
      </c>
      <c r="B15" s="35">
        <v>60</v>
      </c>
      <c r="C15" s="35">
        <v>0</v>
      </c>
      <c r="D15" s="35">
        <f>E19</f>
        <v>198666.66666666666</v>
      </c>
      <c r="E15" s="43" t="s">
        <v>193</v>
      </c>
      <c r="F15" s="35">
        <v>14000000</v>
      </c>
      <c r="G15" s="35"/>
      <c r="H15" s="35"/>
    </row>
    <row r="16" spans="1:9">
      <c r="A16" s="35">
        <v>0</v>
      </c>
      <c r="B16" s="35">
        <v>1060</v>
      </c>
      <c r="C16" s="35">
        <v>1000</v>
      </c>
      <c r="D16" s="35">
        <f>E20</f>
        <v>-195586.66666666663</v>
      </c>
      <c r="E16" s="35"/>
      <c r="F16" s="35">
        <v>15000000.00000003</v>
      </c>
      <c r="G16" s="35"/>
      <c r="H16" s="35"/>
    </row>
    <row r="17" spans="1:8">
      <c r="A17" s="36" t="s">
        <v>31</v>
      </c>
      <c r="B17" s="35"/>
      <c r="C17" s="35"/>
      <c r="D17" s="36" t="s">
        <v>192</v>
      </c>
      <c r="E17" s="35"/>
      <c r="F17" s="35"/>
      <c r="G17" s="35"/>
      <c r="H17" s="35"/>
    </row>
    <row r="18" spans="1:8">
      <c r="A18" s="35">
        <f t="array" ref="A18:C20">MINVERSE(A14:C16)</f>
        <v>-1E-3</v>
      </c>
      <c r="B18" s="35">
        <v>1E-3</v>
      </c>
      <c r="C18" s="35">
        <v>0</v>
      </c>
      <c r="D18" s="35">
        <f>F4</f>
        <v>12000000</v>
      </c>
      <c r="E18" s="42">
        <f t="array" ref="E18:E20">MMULT(A18:C20,D18:D20)</f>
        <v>2000</v>
      </c>
      <c r="F18" s="35"/>
      <c r="G18" s="35"/>
      <c r="H18" s="35"/>
    </row>
    <row r="19" spans="1:8">
      <c r="A19" s="35">
        <v>1.7333333333333333E-2</v>
      </c>
      <c r="B19" s="35">
        <v>-6.6666666666666664E-4</v>
      </c>
      <c r="C19" s="35">
        <v>0</v>
      </c>
      <c r="D19" s="35">
        <f>F5</f>
        <v>14000000</v>
      </c>
      <c r="E19" s="42">
        <v>198666.66666666666</v>
      </c>
      <c r="F19" s="35"/>
      <c r="G19" s="35"/>
      <c r="H19" s="35"/>
    </row>
    <row r="20" spans="1:8">
      <c r="A20" s="35">
        <v>-1.8373333333333332E-2</v>
      </c>
      <c r="B20" s="35">
        <v>7.0666666666666664E-4</v>
      </c>
      <c r="C20" s="35">
        <v>1E-3</v>
      </c>
      <c r="D20" s="35">
        <f>F6</f>
        <v>15000000</v>
      </c>
      <c r="E20" s="42">
        <v>-195586.66666666663</v>
      </c>
      <c r="F20" s="35"/>
      <c r="G20" s="35"/>
      <c r="H20" s="35"/>
    </row>
    <row r="21" spans="1:8">
      <c r="A21" s="36" t="s">
        <v>32</v>
      </c>
      <c r="B21" s="35"/>
      <c r="C21" s="35"/>
      <c r="D21" s="36" t="s">
        <v>38</v>
      </c>
      <c r="E21" s="36" t="s">
        <v>39</v>
      </c>
      <c r="F21" s="35"/>
      <c r="G21" s="35"/>
      <c r="H21" s="35"/>
    </row>
    <row r="22" spans="1:8">
      <c r="A22" s="35">
        <v>-1000</v>
      </c>
      <c r="B22" s="35">
        <v>-1055.5</v>
      </c>
      <c r="C22" s="35">
        <v>-889</v>
      </c>
      <c r="D22" s="35"/>
      <c r="E22" s="35">
        <f>-E18</f>
        <v>-2000</v>
      </c>
      <c r="F22" s="42">
        <f t="array" ref="F22:F25">MMULT(A22:C25,E22:E24)</f>
        <v>37816120.00000003</v>
      </c>
      <c r="G22" s="36" t="s">
        <v>33</v>
      </c>
      <c r="H22" s="35"/>
    </row>
    <row r="23" spans="1:8">
      <c r="A23" s="35">
        <v>40</v>
      </c>
      <c r="B23" s="35">
        <v>60</v>
      </c>
      <c r="C23" s="35">
        <v>0</v>
      </c>
      <c r="D23" s="35"/>
      <c r="E23" s="35">
        <f>-E19</f>
        <v>-198666.66666666666</v>
      </c>
      <c r="F23" s="44">
        <v>-12000000</v>
      </c>
      <c r="G23" s="36" t="s">
        <v>34</v>
      </c>
      <c r="H23" s="36" t="s">
        <v>42</v>
      </c>
    </row>
    <row r="24" spans="1:8">
      <c r="A24" s="35">
        <v>1040</v>
      </c>
      <c r="B24" s="35">
        <v>60</v>
      </c>
      <c r="C24" s="35">
        <v>0</v>
      </c>
      <c r="D24" s="35"/>
      <c r="E24" s="35">
        <f>-E20</f>
        <v>195586.66666666663</v>
      </c>
      <c r="F24" s="44">
        <v>-14000000</v>
      </c>
      <c r="G24" s="36" t="s">
        <v>35</v>
      </c>
      <c r="H24" s="36" t="s">
        <v>43</v>
      </c>
    </row>
    <row r="25" spans="1:8">
      <c r="A25" s="35">
        <v>0</v>
      </c>
      <c r="B25" s="35">
        <v>1060</v>
      </c>
      <c r="C25" s="35">
        <v>1000</v>
      </c>
      <c r="D25" s="35"/>
      <c r="E25" s="35"/>
      <c r="F25" s="44">
        <v>-15000000.00000003</v>
      </c>
      <c r="G25" s="36" t="s">
        <v>36</v>
      </c>
      <c r="H25" s="36" t="s">
        <v>44</v>
      </c>
    </row>
    <row r="26" spans="1:8">
      <c r="A26" s="35"/>
      <c r="B26" s="36" t="s">
        <v>40</v>
      </c>
      <c r="C26" s="35"/>
      <c r="D26" s="35"/>
      <c r="E26" s="36" t="s">
        <v>41</v>
      </c>
      <c r="F26" s="35"/>
      <c r="G26" s="35"/>
      <c r="H26" s="35"/>
    </row>
    <row r="27" spans="1:8">
      <c r="A27" s="35"/>
      <c r="B27" s="35"/>
      <c r="C27" s="35"/>
      <c r="D27" s="35"/>
      <c r="E27" s="35"/>
      <c r="F27" s="35"/>
      <c r="G27" s="35"/>
      <c r="H27" s="3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A8" sqref="A8"/>
    </sheetView>
  </sheetViews>
  <sheetFormatPr defaultRowHeight="12.75"/>
  <sheetData>
    <row r="1" spans="1:12" ht="18">
      <c r="A1" s="6" t="s">
        <v>62</v>
      </c>
    </row>
    <row r="2" spans="1:12" ht="15.75">
      <c r="A2" s="2" t="s">
        <v>63</v>
      </c>
    </row>
    <row r="3" spans="1:12">
      <c r="A3" s="3" t="s">
        <v>53</v>
      </c>
      <c r="C3" s="3" t="s">
        <v>54</v>
      </c>
      <c r="D3" s="3" t="s">
        <v>66</v>
      </c>
      <c r="E3" s="3" t="s">
        <v>55</v>
      </c>
    </row>
    <row r="4" spans="1:12">
      <c r="A4">
        <v>1000</v>
      </c>
      <c r="B4" t="s">
        <v>52</v>
      </c>
      <c r="C4">
        <v>1</v>
      </c>
      <c r="D4">
        <f>C4*$A$6*$A$5</f>
        <v>100</v>
      </c>
      <c r="E4">
        <f>D4/(1+$A$8)^C4</f>
        <v>90.909090909090907</v>
      </c>
    </row>
    <row r="5" spans="1:12">
      <c r="A5">
        <v>1000</v>
      </c>
      <c r="B5" t="s">
        <v>48</v>
      </c>
      <c r="C5">
        <v>2</v>
      </c>
      <c r="D5">
        <f>C5*$A$6*$A$5</f>
        <v>200</v>
      </c>
      <c r="E5">
        <f>D5/(1+$A$8)^C5</f>
        <v>165.28925619834709</v>
      </c>
    </row>
    <row r="6" spans="1:12">
      <c r="A6">
        <v>0.1</v>
      </c>
      <c r="B6" t="s">
        <v>49</v>
      </c>
      <c r="C6">
        <v>3</v>
      </c>
      <c r="D6">
        <f>C6*$A$6*$A$5</f>
        <v>300.00000000000006</v>
      </c>
      <c r="E6">
        <f>D6/(1+$A$8)^C6</f>
        <v>225.3944402704733</v>
      </c>
    </row>
    <row r="7" spans="1:12">
      <c r="A7">
        <v>5</v>
      </c>
      <c r="B7" t="s">
        <v>50</v>
      </c>
      <c r="C7">
        <v>4</v>
      </c>
      <c r="D7">
        <f>C7*$A$6*$A$5</f>
        <v>400</v>
      </c>
      <c r="E7">
        <f>D7/(1+$A$8)^C7</f>
        <v>273.20538214602823</v>
      </c>
    </row>
    <row r="8" spans="1:12">
      <c r="A8">
        <v>0.1</v>
      </c>
      <c r="B8" t="s">
        <v>51</v>
      </c>
      <c r="C8">
        <v>5</v>
      </c>
      <c r="D8">
        <f>C8*($A$6*$A$5+A5)</f>
        <v>5500</v>
      </c>
      <c r="E8">
        <f>D8/(1+$A$8)^C8</f>
        <v>3415.0672768253521</v>
      </c>
    </row>
    <row r="9" spans="1:12">
      <c r="E9" s="3">
        <f>SUM(E4:E8)/A4</f>
        <v>4.1698654463492915</v>
      </c>
      <c r="F9" s="3" t="s">
        <v>56</v>
      </c>
    </row>
    <row r="11" spans="1:12">
      <c r="A11">
        <f>(-12000000/(1.1)-2*14000000/(1.1)^2-3*15000000/(1.1)^3)/(33749060)</f>
        <v>-2.0106857144296906</v>
      </c>
      <c r="B11" s="3" t="s">
        <v>207</v>
      </c>
    </row>
    <row r="13" spans="1:12">
      <c r="A13">
        <f>(-100/(1+0.1)-2200/(1+0.1)^2)/1000</f>
        <v>-1.9090909090909087</v>
      </c>
      <c r="B13" s="3" t="s">
        <v>105</v>
      </c>
    </row>
    <row r="15" spans="1:1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15.75">
      <c r="A16" s="2" t="s">
        <v>64</v>
      </c>
    </row>
    <row r="18" spans="1:5">
      <c r="A18" s="4">
        <v>-4.1698654463492897</v>
      </c>
      <c r="B18" s="4">
        <v>-1.9090909090909087</v>
      </c>
      <c r="C18" s="3" t="s">
        <v>58</v>
      </c>
    </row>
    <row r="19" spans="1:5">
      <c r="A19">
        <v>1</v>
      </c>
      <c r="B19">
        <v>1</v>
      </c>
      <c r="C19" s="3" t="s">
        <v>59</v>
      </c>
    </row>
    <row r="21" spans="1:5">
      <c r="A21">
        <f t="array" ref="A21:B22">MINVERSE(A18:B19)</f>
        <v>-0.44232628398791601</v>
      </c>
      <c r="B21">
        <v>-0.84444108761329417</v>
      </c>
      <c r="C21">
        <v>-2.0106857144296906</v>
      </c>
      <c r="D21" s="3">
        <f t="array" ref="D21:D22">MMULT(A21:B22,C21:C22)</f>
        <v>4.4938052717978905E-2</v>
      </c>
      <c r="E21" s="3" t="s">
        <v>60</v>
      </c>
    </row>
    <row r="22" spans="1:5">
      <c r="A22">
        <v>0.44232628398791601</v>
      </c>
      <c r="B22">
        <v>1.8444410876132942</v>
      </c>
      <c r="C22">
        <v>1</v>
      </c>
      <c r="D22" s="3">
        <v>0.9550619472820211</v>
      </c>
      <c r="E22" s="3" t="s">
        <v>61</v>
      </c>
    </row>
    <row r="23" spans="1:5">
      <c r="A23" s="3" t="s">
        <v>7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G7" sqref="G7"/>
    </sheetView>
  </sheetViews>
  <sheetFormatPr defaultRowHeight="12.75"/>
  <cols>
    <col min="5" max="5" width="11.140625" customWidth="1"/>
    <col min="6" max="6" width="21.28515625" customWidth="1"/>
  </cols>
  <sheetData>
    <row r="1" spans="1:12" ht="18">
      <c r="A1" s="6" t="s">
        <v>65</v>
      </c>
    </row>
    <row r="2" spans="1:12" ht="15.75">
      <c r="A2" s="2" t="s">
        <v>63</v>
      </c>
      <c r="F2" s="29"/>
      <c r="G2" s="29" t="s">
        <v>194</v>
      </c>
      <c r="H2" s="29"/>
    </row>
    <row r="3" spans="1:12">
      <c r="A3" s="3" t="s">
        <v>53</v>
      </c>
      <c r="C3" s="3" t="s">
        <v>54</v>
      </c>
      <c r="D3" s="3" t="s">
        <v>66</v>
      </c>
      <c r="E3" s="3" t="s">
        <v>55</v>
      </c>
      <c r="F3" s="30" t="s">
        <v>68</v>
      </c>
      <c r="G3" s="29" t="s">
        <v>195</v>
      </c>
      <c r="H3" s="29"/>
    </row>
    <row r="4" spans="1:12">
      <c r="A4">
        <v>1000</v>
      </c>
      <c r="B4" t="s">
        <v>52</v>
      </c>
      <c r="C4">
        <v>1</v>
      </c>
      <c r="D4">
        <f>C4*$A$6*$A$5</f>
        <v>100</v>
      </c>
      <c r="E4">
        <f>D4/(1+$A$8)^C4</f>
        <v>90.909090909090907</v>
      </c>
      <c r="F4" s="29">
        <f>(C4+1)*E4/(1+A$8)^2</f>
        <v>150.26296018031553</v>
      </c>
      <c r="G4" s="29" t="s">
        <v>205</v>
      </c>
      <c r="H4" s="29"/>
    </row>
    <row r="5" spans="1:12">
      <c r="A5">
        <v>1000</v>
      </c>
      <c r="B5" t="s">
        <v>48</v>
      </c>
      <c r="C5">
        <v>2</v>
      </c>
      <c r="D5">
        <f>C5*$A$6*$A$5</f>
        <v>200</v>
      </c>
      <c r="E5">
        <f>D5/(1+$A$8)^C5</f>
        <v>165.28925619834709</v>
      </c>
      <c r="F5" s="29">
        <f>(C5+1)*E5/(1+A$8)^2</f>
        <v>409.80807321904234</v>
      </c>
      <c r="G5" s="29"/>
      <c r="H5" s="29"/>
    </row>
    <row r="6" spans="1:12">
      <c r="A6">
        <v>0.1</v>
      </c>
      <c r="B6" t="s">
        <v>49</v>
      </c>
      <c r="C6">
        <v>3</v>
      </c>
      <c r="D6">
        <f>C6*$A$6*$A$5</f>
        <v>300.00000000000006</v>
      </c>
      <c r="E6">
        <f>D6/(1+$A$8)^C6</f>
        <v>225.3944402704733</v>
      </c>
      <c r="F6" s="29">
        <f>(C6+1)*E6/(1+A$8)^2</f>
        <v>745.10558767098598</v>
      </c>
      <c r="G6" s="29"/>
      <c r="H6" s="29"/>
    </row>
    <row r="7" spans="1:12">
      <c r="A7">
        <v>5</v>
      </c>
      <c r="B7" t="s">
        <v>50</v>
      </c>
      <c r="C7">
        <v>4</v>
      </c>
      <c r="D7">
        <f>C7*$A$6*$A$5</f>
        <v>400</v>
      </c>
      <c r="E7">
        <f>D7/(1+$A$8)^C7</f>
        <v>273.20538214602823</v>
      </c>
      <c r="F7" s="29">
        <f>(C7+1)*E7/(1+A$8)^2</f>
        <v>1128.9478601075543</v>
      </c>
      <c r="G7" s="29"/>
      <c r="H7" s="29"/>
    </row>
    <row r="8" spans="1:12">
      <c r="A8">
        <v>0.1</v>
      </c>
      <c r="B8" t="s">
        <v>51</v>
      </c>
      <c r="C8">
        <v>5</v>
      </c>
      <c r="D8">
        <f>C8*($A$6*$A$5+A5)</f>
        <v>5500</v>
      </c>
      <c r="E8">
        <f>D8/(1+$A$8)^C8</f>
        <v>3415.0672768253521</v>
      </c>
      <c r="F8" s="29">
        <f>(C8+1)*E8/(1+A$8)^2</f>
        <v>16934.217901613316</v>
      </c>
      <c r="G8" s="29"/>
      <c r="H8" s="29"/>
    </row>
    <row r="9" spans="1:12">
      <c r="E9" s="3">
        <f>SUM(E4:E8)/A4</f>
        <v>4.1698654463492915</v>
      </c>
      <c r="F9" s="30">
        <f>SUM(F4:F8)/A4</f>
        <v>19.368342382791216</v>
      </c>
      <c r="G9" s="29"/>
      <c r="H9" s="29"/>
    </row>
    <row r="10" spans="1:12">
      <c r="D10" s="3" t="s">
        <v>67</v>
      </c>
      <c r="F10" s="3" t="s">
        <v>69</v>
      </c>
    </row>
    <row r="11" spans="1:12">
      <c r="A11">
        <f>(-12000000/(1.1)-2*14000000/(1.1)^2-3*15000000/(1.1)^3)/(37664426.67)</f>
        <v>-1.8016669525327065</v>
      </c>
      <c r="B11" s="3" t="s">
        <v>106</v>
      </c>
    </row>
    <row r="12" spans="1:12">
      <c r="A12" s="29">
        <f>(2*12000000/(1.1)^3+6*14000000/(1.1)^4+12*15000000/(1.1)^5)/(37664426.67)</f>
        <v>4.9694244721381731</v>
      </c>
      <c r="B12" s="30" t="s">
        <v>107</v>
      </c>
      <c r="C12" s="29"/>
      <c r="D12" s="29"/>
      <c r="E12" s="29"/>
      <c r="F12" s="29"/>
      <c r="G12" s="29"/>
      <c r="H12" s="29"/>
      <c r="I12" s="29"/>
    </row>
    <row r="13" spans="1:12">
      <c r="A13">
        <f>(-100/(1+0.1)-2200/(1+0.1)^2)/1000</f>
        <v>-1.9090909090909087</v>
      </c>
      <c r="B13" s="3" t="s">
        <v>57</v>
      </c>
      <c r="F13" s="3" t="s">
        <v>71</v>
      </c>
      <c r="G13">
        <v>-1.3</v>
      </c>
    </row>
    <row r="14" spans="1:12">
      <c r="A14" s="29">
        <f>(200/(1+0.1)^3+6600/(1+0.1)^4)/1000</f>
        <v>4.6581517655897802</v>
      </c>
      <c r="B14" s="30" t="s">
        <v>70</v>
      </c>
      <c r="C14" s="29"/>
      <c r="D14" s="29"/>
      <c r="E14" s="29"/>
      <c r="F14" s="30" t="s">
        <v>72</v>
      </c>
      <c r="G14" s="29">
        <v>3.2</v>
      </c>
      <c r="H14" s="29"/>
      <c r="I14" s="29"/>
    </row>
    <row r="15" spans="1:1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18">
      <c r="A16" s="6" t="s">
        <v>64</v>
      </c>
    </row>
    <row r="18" spans="1:7">
      <c r="A18" s="4">
        <v>-4.1698654463492897</v>
      </c>
      <c r="B18" s="4">
        <v>-1.9090909090909087</v>
      </c>
      <c r="C18">
        <f>G13</f>
        <v>-1.3</v>
      </c>
      <c r="D18" s="3" t="s">
        <v>73</v>
      </c>
      <c r="G18" t="s">
        <v>196</v>
      </c>
    </row>
    <row r="19" spans="1:7">
      <c r="A19">
        <v>1</v>
      </c>
      <c r="B19">
        <v>1</v>
      </c>
      <c r="C19">
        <v>1</v>
      </c>
      <c r="D19" s="3" t="s">
        <v>76</v>
      </c>
      <c r="G19" t="s">
        <v>197</v>
      </c>
    </row>
    <row r="20" spans="1:7">
      <c r="A20" s="29">
        <f>F9</f>
        <v>19.368342382791216</v>
      </c>
      <c r="B20" s="29">
        <f>A14</f>
        <v>4.6581517655897802</v>
      </c>
      <c r="C20" s="29">
        <f>G14</f>
        <v>3.2</v>
      </c>
      <c r="D20" s="30" t="s">
        <v>74</v>
      </c>
      <c r="E20" s="29"/>
      <c r="F20" s="29"/>
      <c r="G20" t="s">
        <v>198</v>
      </c>
    </row>
    <row r="21" spans="1:7">
      <c r="G21" t="s">
        <v>199</v>
      </c>
    </row>
    <row r="22" spans="1:7">
      <c r="A22">
        <f t="array" ref="A22:C24">MINVERSE(A18:C20)</f>
        <v>0.25747427907843207</v>
      </c>
      <c r="B22">
        <v>-9.4456763553095735E-3</v>
      </c>
      <c r="C22">
        <v>0.10755069973664724</v>
      </c>
      <c r="D22">
        <v>-2.0106857144296906</v>
      </c>
      <c r="E22" s="3">
        <f t="array" ref="E22:E24">MMULT(A22:C24,D22:D24)</f>
        <v>7.3195481354830783E-3</v>
      </c>
      <c r="F22" s="3" t="s">
        <v>60</v>
      </c>
      <c r="G22" t="s">
        <v>200</v>
      </c>
    </row>
    <row r="23" spans="1:7">
      <c r="A23">
        <v>-2.8549375978148892</v>
      </c>
      <c r="B23">
        <v>-2.0898229817784313</v>
      </c>
      <c r="C23">
        <v>-0.5067487173065387</v>
      </c>
      <c r="D23">
        <v>1</v>
      </c>
      <c r="E23" s="3">
        <v>1.1323097847284416</v>
      </c>
      <c r="F23" s="3" t="s">
        <v>61</v>
      </c>
      <c r="G23" t="s">
        <v>201</v>
      </c>
    </row>
    <row r="24" spans="1:7">
      <c r="A24">
        <v>2.5974633187364571</v>
      </c>
      <c r="B24">
        <v>3.0992686581337408</v>
      </c>
      <c r="C24">
        <v>0.39919801756989148</v>
      </c>
      <c r="D24">
        <f>A12</f>
        <v>4.9694244721381731</v>
      </c>
      <c r="E24" s="3">
        <v>-0.13962933286392443</v>
      </c>
      <c r="F24" s="3" t="s">
        <v>75</v>
      </c>
      <c r="G24" t="s">
        <v>202</v>
      </c>
    </row>
    <row r="25" spans="1:7">
      <c r="A25" s="3" t="s">
        <v>7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A2" sqref="A2"/>
    </sheetView>
  </sheetViews>
  <sheetFormatPr defaultRowHeight="12.75"/>
  <cols>
    <col min="4" max="4" width="10.85546875" customWidth="1"/>
  </cols>
  <sheetData>
    <row r="1" spans="1:16" ht="18">
      <c r="A1" s="18" t="s">
        <v>203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>
      <c r="B2" s="3" t="s">
        <v>0</v>
      </c>
      <c r="C2" s="3" t="s">
        <v>1</v>
      </c>
      <c r="D2" s="3" t="s">
        <v>20</v>
      </c>
      <c r="E2" s="3" t="s">
        <v>108</v>
      </c>
    </row>
    <row r="3" spans="1:16">
      <c r="A3" t="s">
        <v>52</v>
      </c>
      <c r="B3">
        <v>900</v>
      </c>
      <c r="C3" t="s">
        <v>109</v>
      </c>
      <c r="D3" t="s">
        <v>109</v>
      </c>
      <c r="E3" t="s">
        <v>110</v>
      </c>
      <c r="F3" s="10">
        <v>100000</v>
      </c>
    </row>
    <row r="4" spans="1:16">
      <c r="A4" t="s">
        <v>48</v>
      </c>
      <c r="B4">
        <v>1000</v>
      </c>
      <c r="C4">
        <v>1000</v>
      </c>
      <c r="D4">
        <v>1000</v>
      </c>
      <c r="E4" t="s">
        <v>111</v>
      </c>
      <c r="F4" s="10">
        <v>400000</v>
      </c>
    </row>
    <row r="5" spans="1:16">
      <c r="A5" t="s">
        <v>49</v>
      </c>
      <c r="B5">
        <v>0.03</v>
      </c>
      <c r="C5">
        <v>0</v>
      </c>
      <c r="D5">
        <v>0</v>
      </c>
      <c r="E5" t="s">
        <v>112</v>
      </c>
      <c r="F5" s="10">
        <v>50000</v>
      </c>
    </row>
    <row r="6" spans="1:16">
      <c r="A6" t="s">
        <v>50</v>
      </c>
      <c r="B6">
        <v>3</v>
      </c>
      <c r="C6">
        <v>4</v>
      </c>
      <c r="D6">
        <v>1</v>
      </c>
    </row>
    <row r="7" spans="1:16">
      <c r="A7" s="3" t="s">
        <v>113</v>
      </c>
    </row>
    <row r="8" spans="1:16">
      <c r="A8" s="3" t="s">
        <v>114</v>
      </c>
    </row>
    <row r="9" spans="1:16">
      <c r="A9" s="3" t="s">
        <v>115</v>
      </c>
    </row>
    <row r="10" spans="1:16">
      <c r="A10" s="3" t="s">
        <v>52</v>
      </c>
      <c r="B10">
        <v>-900</v>
      </c>
      <c r="D10" s="3" t="s">
        <v>116</v>
      </c>
      <c r="E10" s="5">
        <f>1000/(1+B14)^4</f>
        <v>768.7310329792108</v>
      </c>
      <c r="F10" s="3" t="s">
        <v>164</v>
      </c>
    </row>
    <row r="11" spans="1:16">
      <c r="A11" s="3" t="s">
        <v>117</v>
      </c>
      <c r="B11">
        <v>30</v>
      </c>
      <c r="D11" s="3" t="s">
        <v>118</v>
      </c>
      <c r="E11" s="5">
        <f>100000/(1+B14)+400000/(1+B14)^2+50000/(1+B14)^3</f>
        <v>485394.22656733822</v>
      </c>
      <c r="F11" s="3" t="s">
        <v>208</v>
      </c>
    </row>
    <row r="12" spans="1:16">
      <c r="A12" s="3" t="s">
        <v>119</v>
      </c>
      <c r="B12">
        <v>30</v>
      </c>
    </row>
    <row r="13" spans="1:16">
      <c r="A13" s="3" t="s">
        <v>112</v>
      </c>
      <c r="B13">
        <v>1030</v>
      </c>
    </row>
    <row r="14" spans="1:16">
      <c r="A14" s="3" t="s">
        <v>120</v>
      </c>
      <c r="B14" s="24">
        <f>IRR(B10:B13,0.06)</f>
        <v>6.7963467164673122E-2</v>
      </c>
    </row>
    <row r="15" spans="1:16">
      <c r="A15" s="3" t="s">
        <v>121</v>
      </c>
    </row>
    <row r="16" spans="1:16">
      <c r="A16" s="3" t="s">
        <v>122</v>
      </c>
      <c r="B16" s="5">
        <f>(30/(1+B14)+60/(1+B14)^2+3090/(1+B14)^3)/(-900)</f>
        <v>-2.9083501228207922</v>
      </c>
    </row>
    <row r="17" spans="1:11">
      <c r="A17" s="3" t="s">
        <v>123</v>
      </c>
      <c r="B17" s="5">
        <v>-4</v>
      </c>
    </row>
    <row r="18" spans="1:11">
      <c r="A18" s="3" t="s">
        <v>124</v>
      </c>
      <c r="B18" s="5">
        <f>(100000/(1+B14)+800000/(1+B14)^2+150000/(1+B14)^3)/(-E11)</f>
        <v>-1.8916605803089206</v>
      </c>
    </row>
    <row r="19" spans="1:11">
      <c r="A19" s="3" t="s">
        <v>125</v>
      </c>
    </row>
    <row r="20" spans="1:11">
      <c r="A20" s="3" t="s">
        <v>126</v>
      </c>
    </row>
    <row r="21" spans="1:11">
      <c r="A21" s="3" t="s">
        <v>127</v>
      </c>
    </row>
    <row r="22" spans="1:11">
      <c r="A22">
        <f>B16</f>
        <v>-2.9083501228207922</v>
      </c>
      <c r="B22">
        <f>B17</f>
        <v>-4</v>
      </c>
    </row>
    <row r="23" spans="1:11">
      <c r="A23">
        <v>1</v>
      </c>
      <c r="B23">
        <v>1</v>
      </c>
    </row>
    <row r="24" spans="1:11">
      <c r="A24" s="3" t="s">
        <v>128</v>
      </c>
    </row>
    <row r="25" spans="1:11">
      <c r="A25">
        <f t="array" ref="A25:B26">MINVERSE(A22:B23)</f>
        <v>0.91604462282721255</v>
      </c>
      <c r="B25">
        <v>3.6641784913088502</v>
      </c>
      <c r="C25">
        <f>B18</f>
        <v>-1.8916605803089206</v>
      </c>
      <c r="D25" s="5">
        <f t="array" ref="D25:D26">MMULT(A25:B26,C25:C26)</f>
        <v>1.9313329885026591</v>
      </c>
      <c r="E25" s="12" t="s">
        <v>165</v>
      </c>
    </row>
    <row r="26" spans="1:11">
      <c r="A26">
        <v>-0.91604462282721244</v>
      </c>
      <c r="B26">
        <v>-2.6641784913088498</v>
      </c>
      <c r="C26">
        <v>1</v>
      </c>
      <c r="D26" s="5">
        <v>-0.93133298850265889</v>
      </c>
      <c r="E26" s="12" t="s">
        <v>166</v>
      </c>
    </row>
    <row r="29" spans="1:11">
      <c r="A29" s="29" t="s">
        <v>206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>
      <c r="A32" s="30" t="s">
        <v>204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>
      <c r="A33" s="30" t="s">
        <v>129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>
      <c r="A34" s="30" t="s">
        <v>130</v>
      </c>
      <c r="B34" s="29"/>
      <c r="C34" s="29">
        <f>1000/(1+B14)</f>
        <v>936.36161792583709</v>
      </c>
      <c r="D34" s="29"/>
      <c r="E34" s="29"/>
      <c r="F34" s="29"/>
      <c r="G34" s="29"/>
      <c r="H34" s="29"/>
      <c r="I34" s="29"/>
      <c r="J34" s="29"/>
      <c r="K34" s="29"/>
    </row>
    <row r="35" spans="1:11">
      <c r="A35" s="30" t="s">
        <v>131</v>
      </c>
      <c r="B35" s="31">
        <f>B14</f>
        <v>6.7963467164673122E-2</v>
      </c>
      <c r="C35" s="32" t="s">
        <v>132</v>
      </c>
      <c r="D35" s="29"/>
      <c r="E35" s="29"/>
      <c r="F35" s="29"/>
      <c r="G35" s="29"/>
      <c r="H35" s="29"/>
      <c r="I35" s="29"/>
      <c r="J35" s="29"/>
      <c r="K35" s="29"/>
    </row>
    <row r="36" spans="1:11">
      <c r="A36" s="30" t="s">
        <v>122</v>
      </c>
      <c r="B36" s="29">
        <f>(30/(1+B35)+60/(1+B35)^2+3090/(1+B35)^3)/(-900)</f>
        <v>-2.9083501228207922</v>
      </c>
      <c r="C36" s="29"/>
      <c r="D36" s="30" t="s">
        <v>133</v>
      </c>
      <c r="E36" s="29">
        <f>((2*30)/(1+B35)^3+(6*30)/(1+B35)^4+(12*1030)/(1+B35)^5)/(B3)</f>
        <v>10.093871861267949</v>
      </c>
      <c r="F36" s="30" t="s">
        <v>167</v>
      </c>
      <c r="G36" s="29"/>
      <c r="H36" s="29"/>
      <c r="I36" s="29"/>
      <c r="J36" s="29"/>
      <c r="K36" s="29"/>
    </row>
    <row r="37" spans="1:11">
      <c r="A37" s="30" t="s">
        <v>123</v>
      </c>
      <c r="B37" s="29">
        <v>-4</v>
      </c>
      <c r="C37" s="29"/>
      <c r="D37" s="30" t="s">
        <v>134</v>
      </c>
      <c r="E37" s="29">
        <f>((20*1000)/(1+B35)^6)/(E10)</f>
        <v>17.535461590493828</v>
      </c>
      <c r="F37" s="30" t="s">
        <v>168</v>
      </c>
      <c r="G37" s="29"/>
      <c r="H37" s="29"/>
      <c r="I37" s="29"/>
      <c r="J37" s="29"/>
      <c r="K37" s="29"/>
    </row>
    <row r="38" spans="1:11">
      <c r="A38" s="30" t="s">
        <v>135</v>
      </c>
      <c r="B38" s="29">
        <v>-1</v>
      </c>
      <c r="C38" s="29"/>
      <c r="D38" s="30" t="s">
        <v>136</v>
      </c>
      <c r="E38" s="29">
        <f>((2*1000)/(1+B35)^3)/(C34)</f>
        <v>1.753546159049383</v>
      </c>
      <c r="F38" s="30" t="s">
        <v>169</v>
      </c>
      <c r="G38" s="29"/>
      <c r="H38" s="29"/>
      <c r="I38" s="29"/>
      <c r="J38" s="29"/>
      <c r="K38" s="29"/>
    </row>
    <row r="39" spans="1:11">
      <c r="A39" s="30" t="s">
        <v>124</v>
      </c>
      <c r="B39" s="29">
        <f>-(100000/(1+B35)+800000/(1+B35)^2+150000/(1+B35)^3)/(E11)</f>
        <v>-1.8916605803089206</v>
      </c>
      <c r="C39" s="29"/>
      <c r="D39" s="30" t="s">
        <v>137</v>
      </c>
      <c r="E39" s="29">
        <f>((2*100000)/(1+B35)^3+(6*400000)/(1+B35)^4+(12*50000)/(1+B35)^5)/(E11)</f>
        <v>5.0289760728027604</v>
      </c>
      <c r="F39" s="30" t="s">
        <v>170</v>
      </c>
      <c r="G39" s="29"/>
      <c r="H39" s="29"/>
      <c r="I39" s="29"/>
      <c r="J39" s="29"/>
      <c r="K39" s="29"/>
    </row>
    <row r="40" spans="1:1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30" t="s">
        <v>138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>
      <c r="A42" s="30" t="s">
        <v>139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>
      <c r="A43" s="29">
        <f>B36</f>
        <v>-2.9083501228207922</v>
      </c>
      <c r="B43" s="29">
        <f>B37</f>
        <v>-4</v>
      </c>
      <c r="C43" s="29">
        <f>B38</f>
        <v>-1</v>
      </c>
      <c r="D43" s="29"/>
      <c r="E43" s="29"/>
      <c r="F43" s="29"/>
      <c r="G43" s="29"/>
      <c r="H43" s="29"/>
      <c r="I43" s="29"/>
      <c r="J43" s="29"/>
      <c r="K43" s="29"/>
    </row>
    <row r="44" spans="1:11">
      <c r="A44" s="29">
        <v>1</v>
      </c>
      <c r="B44" s="29">
        <v>1</v>
      </c>
      <c r="C44" s="29">
        <v>1</v>
      </c>
      <c r="D44" s="29"/>
      <c r="E44" s="29"/>
      <c r="F44" s="29"/>
      <c r="G44" s="29"/>
      <c r="H44" s="29"/>
      <c r="I44" s="29"/>
      <c r="J44" s="29"/>
      <c r="K44" s="29"/>
    </row>
    <row r="45" spans="1:11">
      <c r="A45" s="29">
        <f>E36</f>
        <v>10.093871861267949</v>
      </c>
      <c r="B45" s="29">
        <f>E37</f>
        <v>17.535461590493828</v>
      </c>
      <c r="C45" s="29">
        <f>E38</f>
        <v>1.753546159049383</v>
      </c>
      <c r="D45" s="29"/>
      <c r="E45" s="29"/>
      <c r="F45" s="29"/>
      <c r="G45" s="29"/>
      <c r="H45" s="29"/>
      <c r="I45" s="29"/>
      <c r="J45" s="29"/>
      <c r="K45" s="29"/>
    </row>
    <row r="46" spans="1:11">
      <c r="A46" s="30" t="s">
        <v>140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>
      <c r="A47" s="29">
        <f t="array" ref="A47:C49">MINVERSE(A43:C45)</f>
        <v>-3.0966528972335965</v>
      </c>
      <c r="B47" s="29">
        <v>-2.0644352648223974</v>
      </c>
      <c r="C47" s="29">
        <v>-0.58864582895883155</v>
      </c>
      <c r="D47" s="29">
        <f>B39</f>
        <v>-1.8916605803089206</v>
      </c>
      <c r="E47" s="29">
        <f t="array" ref="E47:E49">MMULT(A47:C49,D47:D49)</f>
        <v>0.83309516258469829</v>
      </c>
      <c r="F47" s="32" t="s">
        <v>165</v>
      </c>
      <c r="G47" s="29"/>
      <c r="H47" s="29"/>
      <c r="I47" s="29"/>
      <c r="J47" s="29"/>
      <c r="K47" s="29"/>
    </row>
    <row r="48" spans="1:11">
      <c r="A48" s="29">
        <v>1.6364993122563654</v>
      </c>
      <c r="B48" s="29">
        <v>0.97988843039313234</v>
      </c>
      <c r="C48" s="29">
        <v>0.37444744666384439</v>
      </c>
      <c r="D48" s="29">
        <v>1</v>
      </c>
      <c r="E48" s="29">
        <v>-0.23272555851033205</v>
      </c>
      <c r="F48" s="32" t="s">
        <v>166</v>
      </c>
      <c r="G48" s="29"/>
      <c r="H48" s="29"/>
      <c r="I48" s="29"/>
      <c r="J48" s="29"/>
      <c r="K48" s="29"/>
    </row>
    <row r="49" spans="1:11">
      <c r="A49" s="29">
        <v>1.4601535849772311</v>
      </c>
      <c r="B49" s="29">
        <v>2.0845468344292652</v>
      </c>
      <c r="C49" s="29">
        <v>0.21419838229498711</v>
      </c>
      <c r="D49" s="29">
        <f>E39</f>
        <v>5.0289760728027604</v>
      </c>
      <c r="E49" s="29">
        <v>0.39963039592563421</v>
      </c>
      <c r="F49" s="32" t="s">
        <v>171</v>
      </c>
      <c r="G49" s="29"/>
      <c r="H49" s="29"/>
      <c r="I49" s="29"/>
      <c r="J49" s="29"/>
      <c r="K49" s="2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48"/>
  <sheetViews>
    <sheetView workbookViewId="0">
      <selection activeCell="A2" sqref="A2"/>
    </sheetView>
  </sheetViews>
  <sheetFormatPr defaultRowHeight="12.75"/>
  <cols>
    <col min="4" max="4" width="10.85546875" customWidth="1"/>
    <col min="6" max="6" width="10.140625" bestFit="1" customWidth="1"/>
    <col min="10" max="10" width="9.7109375" customWidth="1"/>
  </cols>
  <sheetData>
    <row r="1" spans="1:16" ht="18">
      <c r="A1" s="18" t="s">
        <v>203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>
      <c r="B2" s="3" t="s">
        <v>0</v>
      </c>
      <c r="C2" s="3" t="s">
        <v>1</v>
      </c>
      <c r="D2" s="3" t="s">
        <v>20</v>
      </c>
      <c r="E2" s="3" t="s">
        <v>108</v>
      </c>
    </row>
    <row r="3" spans="1:16">
      <c r="A3" t="s">
        <v>52</v>
      </c>
      <c r="B3">
        <f>1100/1.1</f>
        <v>999.99999999999989</v>
      </c>
      <c r="C3">
        <v>1055.9000000000001</v>
      </c>
      <c r="D3">
        <v>889</v>
      </c>
      <c r="E3" t="s">
        <v>110</v>
      </c>
      <c r="F3" s="10">
        <v>12000000</v>
      </c>
    </row>
    <row r="4" spans="1:16">
      <c r="A4" t="s">
        <v>48</v>
      </c>
      <c r="B4">
        <v>1000</v>
      </c>
      <c r="C4">
        <v>1000</v>
      </c>
      <c r="D4">
        <v>1000</v>
      </c>
      <c r="E4" t="s">
        <v>111</v>
      </c>
      <c r="F4" s="10">
        <v>14000000</v>
      </c>
      <c r="H4" s="4" t="s">
        <v>222</v>
      </c>
    </row>
    <row r="5" spans="1:16">
      <c r="A5" t="s">
        <v>49</v>
      </c>
      <c r="B5">
        <v>0.04</v>
      </c>
      <c r="C5">
        <v>0.06</v>
      </c>
      <c r="D5">
        <v>0</v>
      </c>
      <c r="E5" t="s">
        <v>112</v>
      </c>
      <c r="F5" s="10">
        <v>15000000</v>
      </c>
      <c r="H5" t="s">
        <v>212</v>
      </c>
      <c r="K5">
        <f>12000000/1.04+14000000/1.04^2+15000000/1.04^3</f>
        <v>37817193.900773779</v>
      </c>
    </row>
    <row r="6" spans="1:16">
      <c r="A6" t="s">
        <v>50</v>
      </c>
      <c r="B6">
        <v>2</v>
      </c>
      <c r="C6">
        <v>3</v>
      </c>
      <c r="D6">
        <v>3</v>
      </c>
    </row>
    <row r="7" spans="1:16">
      <c r="A7" s="3" t="s">
        <v>218</v>
      </c>
    </row>
    <row r="8" spans="1:16">
      <c r="A8" s="3" t="s">
        <v>219</v>
      </c>
    </row>
    <row r="9" spans="1:16">
      <c r="A9" s="3" t="s">
        <v>223</v>
      </c>
      <c r="B9" s="5">
        <f>((40/(1.04)+2*1040/(1+0.04)^2)/(-1000))</f>
        <v>-1.9615384615384615</v>
      </c>
    </row>
    <row r="10" spans="1:16">
      <c r="A10" s="3" t="s">
        <v>225</v>
      </c>
      <c r="B10" s="5">
        <f>(60/(1+0.04)+2*60/((1+0.04)^2)+3*1060/((1.04)^3))/-1055.9</f>
        <v>-2.8370560411288444</v>
      </c>
    </row>
    <row r="11" spans="1:16">
      <c r="A11" s="3" t="s">
        <v>226</v>
      </c>
      <c r="B11" s="5">
        <f>(3*1000/(1+0.04)^3)/-889</f>
        <v>-2.9999877120503315</v>
      </c>
    </row>
    <row r="12" spans="1:16">
      <c r="A12" s="3" t="s">
        <v>227</v>
      </c>
      <c r="B12" s="5">
        <f>(12000000/(1+0.04)+2*14000000/(1+0.04)^2+3*15000000/(1+0.04)^3)/(-37817193.9)</f>
        <v>-2.0475044194950103</v>
      </c>
    </row>
    <row r="13" spans="1:16">
      <c r="A13" s="3" t="s">
        <v>213</v>
      </c>
    </row>
    <row r="14" spans="1:16">
      <c r="A14" s="3" t="s">
        <v>224</v>
      </c>
    </row>
    <row r="15" spans="1:16">
      <c r="A15" s="3" t="s">
        <v>214</v>
      </c>
    </row>
    <row r="16" spans="1:16">
      <c r="A16" s="3" t="s">
        <v>215</v>
      </c>
    </row>
    <row r="17" spans="1:11">
      <c r="A17">
        <f>B9</f>
        <v>-1.9615384615384615</v>
      </c>
      <c r="B17">
        <f>B10</f>
        <v>-2.8370560411288444</v>
      </c>
      <c r="C17">
        <f>B11</f>
        <v>-2.9999877120503315</v>
      </c>
      <c r="E17" s="4" t="s">
        <v>228</v>
      </c>
      <c r="G17">
        <f>B12</f>
        <v>-2.0475044194950103</v>
      </c>
    </row>
    <row r="18" spans="1:11">
      <c r="A18">
        <v>1</v>
      </c>
      <c r="B18">
        <v>1</v>
      </c>
      <c r="C18">
        <v>1</v>
      </c>
      <c r="E18" s="4" t="s">
        <v>229</v>
      </c>
      <c r="F18" s="8" t="s">
        <v>95</v>
      </c>
      <c r="G18">
        <v>1</v>
      </c>
    </row>
    <row r="19" spans="1:11">
      <c r="E19" s="4" t="s">
        <v>230</v>
      </c>
    </row>
    <row r="20" spans="1:11">
      <c r="A20" s="3" t="s">
        <v>231</v>
      </c>
    </row>
    <row r="21" spans="1:11">
      <c r="A21" s="3" t="s">
        <v>232</v>
      </c>
    </row>
    <row r="22" spans="1:11">
      <c r="A22">
        <v>-0.99999999999999989</v>
      </c>
      <c r="B22">
        <f>B17</f>
        <v>-2.8370560411288444</v>
      </c>
      <c r="C22">
        <f>C17</f>
        <v>-2.9999877120503315</v>
      </c>
      <c r="E22" s="4" t="s">
        <v>228</v>
      </c>
      <c r="G22">
        <f>G17</f>
        <v>-2.0475044194950103</v>
      </c>
    </row>
    <row r="23" spans="1:11">
      <c r="A23">
        <v>1</v>
      </c>
      <c r="B23">
        <v>1</v>
      </c>
      <c r="C23">
        <v>1</v>
      </c>
      <c r="E23" s="4" t="s">
        <v>229</v>
      </c>
      <c r="F23" s="8" t="s">
        <v>95</v>
      </c>
      <c r="G23">
        <v>1</v>
      </c>
    </row>
    <row r="24" spans="1:11">
      <c r="A24">
        <v>1</v>
      </c>
      <c r="B24">
        <v>0</v>
      </c>
      <c r="C24">
        <v>0</v>
      </c>
      <c r="E24" s="4" t="s">
        <v>230</v>
      </c>
      <c r="G24">
        <v>0.1</v>
      </c>
    </row>
    <row r="25" spans="1:11">
      <c r="D25" s="16"/>
      <c r="E25" s="12"/>
    </row>
    <row r="26" spans="1:11">
      <c r="A26">
        <f t="array" ref="A26:C28">MINVERSE(A22:C24)</f>
        <v>8.8817841970012523E-16</v>
      </c>
      <c r="B26">
        <v>3.5527136788005009E-15</v>
      </c>
      <c r="C26">
        <v>0.99999999999999822</v>
      </c>
      <c r="D26" s="16"/>
      <c r="E26" s="12">
        <f>G22</f>
        <v>-2.0475044194950103</v>
      </c>
      <c r="G26">
        <f t="array" ref="G26:G28">MMULT(A26:C28,E26:E28)</f>
        <v>0.10000000000000156</v>
      </c>
    </row>
    <row r="27" spans="1:11">
      <c r="A27">
        <v>6.1375421631922844</v>
      </c>
      <c r="B27">
        <v>18.412551071767663</v>
      </c>
      <c r="C27">
        <v>-12.27500890857538</v>
      </c>
      <c r="D27" s="16"/>
      <c r="E27" s="12">
        <f>G23</f>
        <v>1</v>
      </c>
      <c r="F27" s="8" t="s">
        <v>95</v>
      </c>
      <c r="G27">
        <v>4.6184054769369567</v>
      </c>
    </row>
    <row r="28" spans="1:11">
      <c r="A28">
        <v>-6.1375421631922853</v>
      </c>
      <c r="B28">
        <v>-17.412551071767666</v>
      </c>
      <c r="C28">
        <v>11.275008908575382</v>
      </c>
      <c r="D28" s="16"/>
      <c r="E28" s="12">
        <f>G24</f>
        <v>0.1</v>
      </c>
      <c r="G28">
        <v>-3.7184054769369581</v>
      </c>
    </row>
    <row r="29" spans="1:11">
      <c r="D29" s="16"/>
      <c r="E29" s="12"/>
    </row>
    <row r="30" spans="1:11">
      <c r="D30" s="16"/>
    </row>
    <row r="31" spans="1:11">
      <c r="D31" s="16"/>
    </row>
    <row r="32" spans="1:11">
      <c r="A32" s="29" t="s">
        <v>206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>
      <c r="A33" s="29" t="s">
        <v>216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>
      <c r="A34" s="29" t="s">
        <v>217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>
      <c r="A35" s="33" t="s">
        <v>223</v>
      </c>
      <c r="B35" s="29">
        <f>B9</f>
        <v>-1.9615384615384615</v>
      </c>
      <c r="C35" s="29"/>
      <c r="D35" s="30" t="s">
        <v>235</v>
      </c>
      <c r="E35" s="29">
        <f>((2*40)/(1+0.04)^3+(6*1040)/(1+0.04)^4)/(1000)</f>
        <v>5.4050978607191622</v>
      </c>
      <c r="F35" s="30" t="s">
        <v>167</v>
      </c>
      <c r="G35" s="29"/>
      <c r="H35" s="29"/>
      <c r="I35" s="29"/>
      <c r="J35" s="29"/>
      <c r="K35" s="29"/>
    </row>
    <row r="36" spans="1:11">
      <c r="A36" s="33" t="s">
        <v>225</v>
      </c>
      <c r="B36" s="29">
        <f t="shared" ref="B36:B38" si="0">B10</f>
        <v>-2.8370560411288444</v>
      </c>
      <c r="C36" s="29"/>
      <c r="D36" s="30" t="s">
        <v>236</v>
      </c>
      <c r="E36" s="29">
        <f>((2*60)/(1+0.04)^3+(6*60)/(1+0.04)^4+(12*1060)/(1+0.04)^5)/(1055.5)</f>
        <v>10.297794286868937</v>
      </c>
      <c r="F36" s="30" t="s">
        <v>168</v>
      </c>
      <c r="G36" s="29"/>
      <c r="H36" s="29"/>
      <c r="I36" s="29"/>
      <c r="J36" s="29"/>
      <c r="K36" s="29"/>
    </row>
    <row r="37" spans="1:11">
      <c r="A37" s="33" t="s">
        <v>226</v>
      </c>
      <c r="B37" s="29">
        <f t="shared" si="0"/>
        <v>-2.9999877120503315</v>
      </c>
      <c r="C37" s="29"/>
      <c r="D37" s="30" t="s">
        <v>237</v>
      </c>
      <c r="E37" s="29">
        <f>((2*0)/(1+0.04)^3+(6*0)/(1+0.04)^4+(12*1000)/(1+0.04)^5)/(889)</f>
        <v>11.094629112612168</v>
      </c>
      <c r="F37" s="30" t="s">
        <v>234</v>
      </c>
      <c r="G37" s="29"/>
      <c r="H37" s="29"/>
      <c r="I37" s="29"/>
      <c r="J37" s="29"/>
      <c r="K37" s="29"/>
    </row>
    <row r="38" spans="1:11">
      <c r="A38" s="33" t="s">
        <v>227</v>
      </c>
      <c r="B38" s="29">
        <f t="shared" si="0"/>
        <v>-2.0475044194950103</v>
      </c>
      <c r="C38" s="29"/>
      <c r="D38" s="30" t="s">
        <v>233</v>
      </c>
      <c r="E38" s="29">
        <f>((2*12000000)/(1+0.04)^3+(6*14000000)/(1+0.04)^4+(12*15000000)/(1+0.04)^5)/(37816120)</f>
        <v>6.3752268575221942</v>
      </c>
      <c r="F38" s="30" t="s">
        <v>170</v>
      </c>
      <c r="G38" s="29"/>
      <c r="H38" s="29"/>
      <c r="I38" s="29"/>
      <c r="J38" s="29"/>
      <c r="K38" s="29"/>
    </row>
    <row r="39" spans="1:1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>
      <c r="A40" s="30" t="s">
        <v>138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30" t="s">
        <v>139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>
      <c r="A42" s="29">
        <f>B35</f>
        <v>-1.9615384615384615</v>
      </c>
      <c r="B42" s="29">
        <f>B36</f>
        <v>-2.8370560411288444</v>
      </c>
      <c r="C42" s="29">
        <f>B37</f>
        <v>-2.9999877120503315</v>
      </c>
      <c r="D42" s="29"/>
      <c r="E42" s="29"/>
      <c r="F42" s="29"/>
      <c r="G42" s="29"/>
      <c r="H42" s="29"/>
      <c r="I42" s="29"/>
      <c r="J42" s="29"/>
      <c r="K42" s="29"/>
    </row>
    <row r="43" spans="1:11">
      <c r="A43" s="29">
        <v>1</v>
      </c>
      <c r="B43" s="29">
        <v>1</v>
      </c>
      <c r="C43" s="29">
        <v>1</v>
      </c>
      <c r="D43" s="29"/>
      <c r="E43" s="29"/>
      <c r="F43" s="29"/>
      <c r="G43" s="29"/>
      <c r="H43" s="29"/>
      <c r="I43" s="29"/>
      <c r="J43" s="29"/>
      <c r="K43" s="29"/>
    </row>
    <row r="44" spans="1:11">
      <c r="A44" s="29">
        <f>E35</f>
        <v>5.4050978607191622</v>
      </c>
      <c r="B44" s="29">
        <f>E36</f>
        <v>10.297794286868937</v>
      </c>
      <c r="C44" s="29">
        <f>E37</f>
        <v>11.094629112612168</v>
      </c>
      <c r="D44" s="29"/>
      <c r="E44" s="29"/>
      <c r="F44" s="29"/>
      <c r="G44" s="29"/>
      <c r="H44" s="29"/>
      <c r="I44" s="29"/>
      <c r="J44" s="29"/>
      <c r="K44" s="29"/>
    </row>
    <row r="45" spans="1:11">
      <c r="A45" s="30" t="s">
        <v>140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>
      <c r="A46" s="29">
        <f t="array" ref="A46:C48">MINVERSE(A42:C44)</f>
        <v>-8.0057908564265308</v>
      </c>
      <c r="B46" s="29">
        <v>-5.8556688705945623</v>
      </c>
      <c r="C46" s="29">
        <v>-1.6369727315430627</v>
      </c>
      <c r="D46" s="29">
        <f>B38</f>
        <v>-2.0475044194950103</v>
      </c>
      <c r="E46" s="29">
        <f t="array" ref="E46:E48">MMULT(A46:C48,D46:D48)</f>
        <v>0.10015076632670095</v>
      </c>
      <c r="F46" s="32" t="s">
        <v>165</v>
      </c>
      <c r="G46" s="29"/>
      <c r="H46" s="29"/>
      <c r="I46" s="29"/>
      <c r="J46" s="29"/>
      <c r="K46" s="29"/>
    </row>
    <row r="47" spans="1:11">
      <c r="A47" s="29">
        <v>57.162658812349214</v>
      </c>
      <c r="B47" s="29">
        <v>55.733809213438839</v>
      </c>
      <c r="C47" s="29">
        <v>10.433288362938423</v>
      </c>
      <c r="D47" s="29">
        <v>1</v>
      </c>
      <c r="E47" s="29">
        <v>5.2075928487472325</v>
      </c>
      <c r="F47" s="32" t="s">
        <v>166</v>
      </c>
      <c r="G47" s="29"/>
      <c r="H47" s="29"/>
      <c r="I47" s="29"/>
      <c r="J47" s="29"/>
      <c r="K47" s="29"/>
    </row>
    <row r="48" spans="1:11">
      <c r="A48" s="29">
        <v>-49.156867955922678</v>
      </c>
      <c r="B48" s="29">
        <v>-48.878140342844269</v>
      </c>
      <c r="C48" s="29">
        <v>-8.7963156313953608</v>
      </c>
      <c r="D48" s="29">
        <f>E38</f>
        <v>6.3752268575221942</v>
      </c>
      <c r="E48" s="29">
        <v>-4.3077436150739317</v>
      </c>
      <c r="F48" s="32" t="s">
        <v>171</v>
      </c>
      <c r="G48" s="29"/>
      <c r="H48" s="29"/>
      <c r="I48" s="29"/>
      <c r="J48" s="29"/>
      <c r="K48" s="29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A2" sqref="A2"/>
    </sheetView>
  </sheetViews>
  <sheetFormatPr defaultRowHeight="12.75"/>
  <cols>
    <col min="1" max="1" width="5" customWidth="1"/>
    <col min="2" max="3" width="9" customWidth="1"/>
    <col min="4" max="4" width="9.85546875" bestFit="1" customWidth="1"/>
    <col min="5" max="5" width="9.85546875" hidden="1" customWidth="1"/>
    <col min="7" max="7" width="11.28515625" bestFit="1" customWidth="1"/>
    <col min="8" max="8" width="9.85546875" bestFit="1" customWidth="1"/>
    <col min="9" max="9" width="12.28515625" bestFit="1" customWidth="1"/>
  </cols>
  <sheetData>
    <row r="1" spans="1:6" ht="18">
      <c r="A1" s="6" t="s">
        <v>158</v>
      </c>
      <c r="B1" s="16"/>
    </row>
    <row r="3" spans="1:6" ht="14.25">
      <c r="A3" s="19" t="s">
        <v>159</v>
      </c>
      <c r="B3" s="19" t="s">
        <v>160</v>
      </c>
      <c r="C3" s="19" t="s">
        <v>161</v>
      </c>
      <c r="D3" s="20" t="s">
        <v>163</v>
      </c>
      <c r="E3" s="20"/>
      <c r="F3" s="19" t="s">
        <v>162</v>
      </c>
    </row>
    <row r="4" spans="1:6">
      <c r="A4">
        <v>1</v>
      </c>
      <c r="B4" s="21">
        <v>5</v>
      </c>
      <c r="C4" s="22">
        <v>102</v>
      </c>
      <c r="D4" s="11">
        <f>C4/(B4+100)</f>
        <v>0.97142857142857142</v>
      </c>
      <c r="E4" s="11">
        <f t="shared" ref="E4:E19" si="0">A4</f>
        <v>1</v>
      </c>
      <c r="F4" s="23">
        <f>1/D4-1</f>
        <v>2.941176470588247E-2</v>
      </c>
    </row>
    <row r="5" spans="1:6">
      <c r="A5">
        <v>2</v>
      </c>
      <c r="B5" s="21">
        <v>5</v>
      </c>
      <c r="C5" s="22">
        <v>101.75</v>
      </c>
      <c r="D5" s="11">
        <f>(C5-B5*D4)/(B5+100)</f>
        <v>0.92278911564625843</v>
      </c>
      <c r="E5" s="11">
        <f t="shared" si="0"/>
        <v>2</v>
      </c>
      <c r="F5" s="23">
        <f t="shared" ref="F5:F19" si="1">(1/D5)^(1/A5)-1</f>
        <v>4.099529906704702E-2</v>
      </c>
    </row>
    <row r="6" spans="1:6">
      <c r="A6">
        <v>3</v>
      </c>
      <c r="B6" s="21">
        <v>5</v>
      </c>
      <c r="C6" s="22">
        <v>101.5</v>
      </c>
      <c r="D6" s="11">
        <f>(C6-B6*D5-B6*D4)/(B6+100)</f>
        <v>0.87646582442500809</v>
      </c>
      <c r="E6" s="11">
        <f t="shared" si="0"/>
        <v>3</v>
      </c>
      <c r="F6" s="23">
        <f t="shared" si="1"/>
        <v>4.4932742512162616E-2</v>
      </c>
    </row>
    <row r="7" spans="1:6">
      <c r="A7">
        <v>4</v>
      </c>
      <c r="B7" s="21">
        <v>5</v>
      </c>
      <c r="C7" s="22">
        <v>101.25</v>
      </c>
      <c r="D7" s="11">
        <f>(C7-B7*D6-B7*D5-B7*D4)/(B7+100)</f>
        <v>0.83234840421429335</v>
      </c>
      <c r="E7" s="11">
        <f t="shared" si="0"/>
        <v>4</v>
      </c>
      <c r="F7" s="23">
        <f t="shared" si="1"/>
        <v>4.6944626470767359E-2</v>
      </c>
    </row>
    <row r="8" spans="1:6">
      <c r="A8">
        <v>5</v>
      </c>
      <c r="B8" s="21">
        <v>5</v>
      </c>
      <c r="C8" s="22">
        <v>101.25</v>
      </c>
      <c r="D8" s="11">
        <f>(C8-B8*D7-B8*D6-B8*D5-B8*D4)/(B8+100)</f>
        <v>0.7927127659183747</v>
      </c>
      <c r="E8" s="11">
        <f t="shared" si="0"/>
        <v>5</v>
      </c>
      <c r="F8" s="23">
        <f t="shared" si="1"/>
        <v>4.7554989085895949E-2</v>
      </c>
    </row>
    <row r="9" spans="1:6">
      <c r="A9">
        <v>6</v>
      </c>
      <c r="B9" s="21">
        <v>5</v>
      </c>
      <c r="C9" s="22">
        <v>101.25</v>
      </c>
      <c r="D9" s="11">
        <f>(C9-B9*D8-B9*D7-B9*D6-B9*D5-B9*D4)/(B9+100)</f>
        <v>0.75496453896988058</v>
      </c>
      <c r="E9" s="11">
        <f t="shared" si="0"/>
        <v>6</v>
      </c>
      <c r="F9" s="23">
        <f t="shared" si="1"/>
        <v>4.7962095170871244E-2</v>
      </c>
    </row>
    <row r="10" spans="1:6">
      <c r="A10">
        <v>7</v>
      </c>
      <c r="B10" s="21">
        <v>5</v>
      </c>
      <c r="C10" s="22">
        <v>101.25</v>
      </c>
      <c r="D10" s="11">
        <f>(C10-B10*D9-B10*D8-B10*D7-B10*D6-B10*D5-B10*D4)/(B10+100)</f>
        <v>0.71901384663798151</v>
      </c>
      <c r="E10" s="11">
        <f t="shared" si="0"/>
        <v>7</v>
      </c>
      <c r="F10" s="23">
        <f t="shared" si="1"/>
        <v>4.8252982092236163E-2</v>
      </c>
    </row>
    <row r="11" spans="1:6">
      <c r="A11">
        <v>8</v>
      </c>
      <c r="B11" s="21">
        <v>5</v>
      </c>
      <c r="C11" s="22">
        <v>101.25</v>
      </c>
      <c r="D11" s="11">
        <f>(C11-B11*D10-B11*D9-B11*D8-B11*D7-B11*D6-B11*D5-B11*D4)/(B11+100)</f>
        <v>0.68477509203617293</v>
      </c>
      <c r="E11" s="11">
        <f t="shared" si="0"/>
        <v>8</v>
      </c>
      <c r="F11" s="23">
        <f t="shared" si="1"/>
        <v>4.8471200269375903E-2</v>
      </c>
    </row>
    <row r="12" spans="1:6">
      <c r="A12">
        <v>9</v>
      </c>
      <c r="B12" s="21">
        <v>5.25</v>
      </c>
      <c r="C12" s="22">
        <v>102.25</v>
      </c>
      <c r="D12" s="11">
        <f>(C12-B12*D11-B12*D10-B12*D9-B12*D8-B12*D7-B12*D6-B12*D5-B12*D4)/(B12+100)</f>
        <v>0.64454997305271422</v>
      </c>
      <c r="E12" s="11">
        <f t="shared" si="0"/>
        <v>9</v>
      </c>
      <c r="F12" s="23">
        <f t="shared" si="1"/>
        <v>5.0010668564737015E-2</v>
      </c>
    </row>
    <row r="13" spans="1:6">
      <c r="A13">
        <v>10</v>
      </c>
      <c r="B13" s="21">
        <v>5.25</v>
      </c>
      <c r="C13" s="22">
        <v>102.25</v>
      </c>
      <c r="D13" s="11">
        <f>(C13-B13*D12-B13*D11-B13*D10-B13*D9-B13*D8-B13*D7-B13*D6-B13*D5-B13*D4)/(B13+100)</f>
        <v>0.61239902427811321</v>
      </c>
      <c r="E13" s="11">
        <f t="shared" si="0"/>
        <v>10</v>
      </c>
      <c r="F13" s="23">
        <f t="shared" si="1"/>
        <v>5.0259336533132304E-2</v>
      </c>
    </row>
    <row r="14" spans="1:6">
      <c r="A14">
        <v>11</v>
      </c>
      <c r="B14" s="21">
        <v>5.25</v>
      </c>
      <c r="C14" s="22">
        <v>102.25</v>
      </c>
      <c r="D14" s="11">
        <f>(C14-B14*D13-B14*D12-B14*D11-B14*D10-B14*D9-B14*D8-B14*D7-B14*D6-B14*D5-B14*D4)/(B14+100)</f>
        <v>0.58185180453977503</v>
      </c>
      <c r="E14" s="11">
        <f t="shared" si="0"/>
        <v>11</v>
      </c>
      <c r="F14" s="23">
        <f t="shared" si="1"/>
        <v>5.0462835945934703E-2</v>
      </c>
    </row>
    <row r="15" spans="1:6">
      <c r="A15">
        <v>12</v>
      </c>
      <c r="B15" s="21">
        <v>5.25</v>
      </c>
      <c r="C15" s="22">
        <v>102.25</v>
      </c>
      <c r="D15" s="11">
        <f>(C15-B15*D14-B15*D13-B15*D12-B15*D11-B15*D10-B15*D9-B15*D8-B15*D7-B15*D6-B15*D5-B15*D4)/(B15+100)</f>
        <v>0.55282831785251785</v>
      </c>
      <c r="E15" s="11">
        <f t="shared" si="0"/>
        <v>12</v>
      </c>
      <c r="F15" s="23">
        <f t="shared" si="1"/>
        <v>5.0632448909958994E-2</v>
      </c>
    </row>
    <row r="16" spans="1:6">
      <c r="A16">
        <v>13</v>
      </c>
      <c r="B16" s="21">
        <v>5.5</v>
      </c>
      <c r="C16" s="22">
        <v>104</v>
      </c>
      <c r="D16" s="11">
        <f>(C16-B16*D15-B16*D14-B16*D13-B16*D12-B16*D11-B16*D10-B16*D9-B16*D8-B16*D7-B16*D6-B16*D5-B16*D4)/(B16+100)</f>
        <v>0.51939620820380894</v>
      </c>
      <c r="E16" s="11">
        <f t="shared" si="0"/>
        <v>13</v>
      </c>
      <c r="F16" s="23">
        <f t="shared" si="1"/>
        <v>5.1682650899392613E-2</v>
      </c>
    </row>
    <row r="17" spans="1:6">
      <c r="A17">
        <v>14</v>
      </c>
      <c r="B17" s="21">
        <v>5.5</v>
      </c>
      <c r="C17" s="22">
        <v>104</v>
      </c>
      <c r="D17" s="11">
        <f>(C17-B17*D16-B17*D15-B17*D14-B17*D13-B17*D12-B17*D11-B17*D10-B17*D9-B17*D8-B17*D7-B17*D6-B17*D5-B17*D4)/(B17+100)</f>
        <v>0.49231868076190421</v>
      </c>
      <c r="E17" s="11">
        <f t="shared" si="0"/>
        <v>14</v>
      </c>
      <c r="F17" s="23">
        <f t="shared" si="1"/>
        <v>5.1919258088300113E-2</v>
      </c>
    </row>
    <row r="18" spans="1:6">
      <c r="A18">
        <v>15</v>
      </c>
      <c r="B18" s="21">
        <v>5.5</v>
      </c>
      <c r="C18" s="22">
        <v>104</v>
      </c>
      <c r="D18" s="11">
        <f>(C18-B18*D17-B18*D16-B18*D15-B18*D14-B18*D13-B18*D12-B18*D11-B18*D10-B18*D9-B18*D8-B18*D7-B18*D6-B18*D5-B18*D4)/(B18+100)</f>
        <v>0.46665277797336896</v>
      </c>
      <c r="E18" s="11">
        <f t="shared" si="0"/>
        <v>15</v>
      </c>
      <c r="F18" s="23">
        <f t="shared" si="1"/>
        <v>5.2124360710201989E-2</v>
      </c>
    </row>
    <row r="19" spans="1:6">
      <c r="A19">
        <v>16</v>
      </c>
      <c r="B19" s="21">
        <v>5.75</v>
      </c>
      <c r="C19" s="22">
        <v>105.75</v>
      </c>
      <c r="D19" s="11">
        <f>(C19-B19*D18-B19*D17-B19*D16-B19*D15-B19*D14-B19*D13-B19*D12-B19*D11-B19*D10-B19*D9-B19*D8-B19*D7-B19*D6-B19*D5-B19*D4)/(B19+100)</f>
        <v>0.43318348993713685</v>
      </c>
      <c r="E19" s="11">
        <f t="shared" si="0"/>
        <v>16</v>
      </c>
      <c r="F19" s="23">
        <f t="shared" si="1"/>
        <v>5.3678228311992093E-2</v>
      </c>
    </row>
  </sheetData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E6" sqref="E6"/>
    </sheetView>
  </sheetViews>
  <sheetFormatPr defaultRowHeight="12.75"/>
  <sheetData>
    <row r="1" spans="1:8" ht="18">
      <c r="A1" s="6" t="s">
        <v>79</v>
      </c>
    </row>
    <row r="2" spans="1:8">
      <c r="A2" t="s">
        <v>80</v>
      </c>
    </row>
    <row r="3" spans="1:8">
      <c r="A3" t="s">
        <v>81</v>
      </c>
    </row>
    <row r="4" spans="1:8">
      <c r="A4" t="s">
        <v>82</v>
      </c>
    </row>
    <row r="5" spans="1:8" ht="18">
      <c r="A5" t="s">
        <v>83</v>
      </c>
      <c r="H5" s="6"/>
    </row>
    <row r="6" spans="1:8" ht="18">
      <c r="A6" s="9" t="s">
        <v>84</v>
      </c>
    </row>
    <row r="7" spans="1:8" ht="18">
      <c r="A7" s="9" t="s">
        <v>85</v>
      </c>
    </row>
    <row r="9" spans="1:8" ht="18">
      <c r="A9" s="9">
        <v>0</v>
      </c>
      <c r="B9" s="9">
        <v>1000</v>
      </c>
      <c r="C9" s="4" t="s">
        <v>86</v>
      </c>
      <c r="D9" s="6"/>
      <c r="E9" s="6"/>
      <c r="F9" s="6"/>
      <c r="G9" s="6"/>
    </row>
    <row r="10" spans="1:8" ht="18">
      <c r="A10" s="9">
        <v>100</v>
      </c>
      <c r="B10" s="9">
        <v>1100</v>
      </c>
      <c r="C10" s="6"/>
      <c r="D10" s="6"/>
      <c r="E10" s="6"/>
      <c r="F10" s="6"/>
      <c r="G10" s="6"/>
    </row>
    <row r="11" spans="1:8" ht="18">
      <c r="A11" s="6"/>
      <c r="B11" s="6" t="s">
        <v>87</v>
      </c>
      <c r="C11" s="6"/>
      <c r="D11" s="6"/>
      <c r="E11" s="6"/>
      <c r="F11" s="6"/>
      <c r="G11" s="6"/>
    </row>
    <row r="12" spans="1:8" ht="18">
      <c r="F12" s="6"/>
      <c r="G12" s="6"/>
    </row>
    <row r="13" spans="1:8" ht="18">
      <c r="A13" s="9">
        <v>826.4</v>
      </c>
      <c r="B13" t="s">
        <v>88</v>
      </c>
      <c r="D13" s="9" t="s">
        <v>89</v>
      </c>
      <c r="E13" t="s">
        <v>90</v>
      </c>
      <c r="F13" s="6"/>
      <c r="G13" s="6"/>
    </row>
    <row r="14" spans="1:8" ht="18">
      <c r="A14" s="9">
        <v>1005</v>
      </c>
      <c r="B14" t="s">
        <v>97</v>
      </c>
      <c r="D14" s="9" t="s">
        <v>91</v>
      </c>
      <c r="E14" t="s">
        <v>98</v>
      </c>
    </row>
    <row r="15" spans="1:8" ht="18">
      <c r="A15" s="6" t="s">
        <v>92</v>
      </c>
      <c r="D15" s="6" t="s">
        <v>93</v>
      </c>
    </row>
    <row r="16" spans="1:8" ht="18">
      <c r="G16" s="6" t="s">
        <v>94</v>
      </c>
    </row>
    <row r="17" spans="1:8" ht="21">
      <c r="A17" s="9">
        <f t="array" ref="A17:B18">MINVERSE(A9:B10)</f>
        <v>-1.1000000000000001E-2</v>
      </c>
      <c r="B17" s="9">
        <v>0.01</v>
      </c>
      <c r="C17" s="9">
        <v>826.4</v>
      </c>
      <c r="E17" s="9">
        <f t="array" ref="E17:E18">MMULT(A17:B18,C17:C18)</f>
        <v>0.95960000000000001</v>
      </c>
      <c r="G17" s="6" t="s">
        <v>99</v>
      </c>
      <c r="H17" s="9">
        <f>1/E17-1</f>
        <v>4.2100875364735391E-2</v>
      </c>
    </row>
    <row r="18" spans="1:8" ht="21">
      <c r="A18" s="9">
        <v>1E-3</v>
      </c>
      <c r="B18" s="9">
        <v>0</v>
      </c>
      <c r="C18" s="9">
        <v>1005</v>
      </c>
      <c r="D18" s="9" t="s">
        <v>95</v>
      </c>
      <c r="E18" s="9">
        <v>0.82640000000000002</v>
      </c>
      <c r="G18" s="6" t="s">
        <v>100</v>
      </c>
      <c r="H18" s="9">
        <f>1/E18^0.5-1</f>
        <v>0.10003080129366038</v>
      </c>
    </row>
    <row r="19" spans="1:8" ht="22.5">
      <c r="B19" s="6" t="s">
        <v>101</v>
      </c>
      <c r="C19" s="6" t="s">
        <v>92</v>
      </c>
      <c r="E19" s="6" t="s">
        <v>96</v>
      </c>
      <c r="G19" s="6" t="s">
        <v>102</v>
      </c>
      <c r="H19" s="9">
        <f>1.1^2/1.042-1</f>
        <v>0.1612284069097889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55"/>
  <sheetViews>
    <sheetView workbookViewId="0">
      <selection activeCell="A2" sqref="A2"/>
    </sheetView>
  </sheetViews>
  <sheetFormatPr defaultRowHeight="12.75"/>
  <cols>
    <col min="1" max="1" width="10.5703125" customWidth="1"/>
    <col min="2" max="2" width="11.5703125" customWidth="1"/>
  </cols>
  <sheetData>
    <row r="1" spans="1:17" ht="18">
      <c r="A1" s="6" t="s">
        <v>26</v>
      </c>
    </row>
    <row r="2" spans="1:17">
      <c r="A2" s="3" t="s">
        <v>0</v>
      </c>
      <c r="B2" s="3" t="s">
        <v>241</v>
      </c>
    </row>
    <row r="3" spans="1:17">
      <c r="A3" t="s">
        <v>2</v>
      </c>
      <c r="B3" s="4" t="s">
        <v>238</v>
      </c>
      <c r="D3">
        <v>40</v>
      </c>
      <c r="E3">
        <v>1040</v>
      </c>
      <c r="F3" s="3" t="s">
        <v>6</v>
      </c>
    </row>
    <row r="4" spans="1:17">
      <c r="A4" t="s">
        <v>3</v>
      </c>
      <c r="B4" t="s">
        <v>3</v>
      </c>
      <c r="D4">
        <v>60</v>
      </c>
      <c r="E4">
        <v>1060</v>
      </c>
    </row>
    <row r="5" spans="1:17">
      <c r="A5" t="s">
        <v>4</v>
      </c>
      <c r="B5" t="s">
        <v>19</v>
      </c>
    </row>
    <row r="6" spans="1:17">
      <c r="A6" t="s">
        <v>5</v>
      </c>
      <c r="B6" t="s">
        <v>5</v>
      </c>
    </row>
    <row r="7" spans="1:17">
      <c r="D7" s="1">
        <f t="array" ref="D7:E8">MINVERSE(D3:E4)</f>
        <v>-5.2999999999999999E-2</v>
      </c>
      <c r="E7" s="1">
        <v>5.1999999999999998E-2</v>
      </c>
      <c r="F7">
        <v>1000</v>
      </c>
      <c r="G7">
        <f t="array" ref="G7:G8">MMULT(D7:E8,F7:F8)</f>
        <v>1.8859999999999957</v>
      </c>
      <c r="H7">
        <f>1/G7-1</f>
        <v>-0.46977730646871563</v>
      </c>
      <c r="I7" s="3" t="s">
        <v>14</v>
      </c>
    </row>
    <row r="8" spans="1:17">
      <c r="D8" s="1">
        <v>2.9999999999999996E-3</v>
      </c>
      <c r="E8" s="1">
        <v>-1.9999999999999996E-3</v>
      </c>
      <c r="F8">
        <v>1055.5</v>
      </c>
      <c r="G8">
        <v>0.88899999999999979</v>
      </c>
      <c r="H8">
        <f>(1/G8^0.5)-1</f>
        <v>6.0593886733243618E-2</v>
      </c>
      <c r="I8" s="3" t="s">
        <v>15</v>
      </c>
    </row>
    <row r="9" spans="1:17">
      <c r="D9" s="3" t="s">
        <v>7</v>
      </c>
      <c r="E9" s="3"/>
      <c r="F9" s="3" t="s">
        <v>8</v>
      </c>
      <c r="G9" s="3" t="s">
        <v>10</v>
      </c>
      <c r="H9" s="3" t="s">
        <v>12</v>
      </c>
      <c r="I9" s="3" t="s">
        <v>16</v>
      </c>
      <c r="J9" s="4">
        <f>((1+H8)^2)/(1+H7)-1</f>
        <v>1.1214848143981961</v>
      </c>
      <c r="K9" s="3" t="s">
        <v>242</v>
      </c>
    </row>
    <row r="10" spans="1:17">
      <c r="D10" s="3"/>
      <c r="E10" s="3"/>
      <c r="F10" s="3" t="s">
        <v>9</v>
      </c>
      <c r="G10" s="3" t="s">
        <v>11</v>
      </c>
      <c r="H10" s="3" t="s">
        <v>13</v>
      </c>
      <c r="I10" s="3"/>
      <c r="J10" s="3" t="s">
        <v>18</v>
      </c>
    </row>
    <row r="11" spans="1:17">
      <c r="D11" s="3"/>
      <c r="E11" s="3"/>
      <c r="F11" s="3"/>
      <c r="G11" s="3"/>
      <c r="H11" s="3"/>
      <c r="I11" s="3"/>
      <c r="J11" s="3" t="s">
        <v>17</v>
      </c>
    </row>
    <row r="12" spans="1:17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7" ht="18">
      <c r="A13" s="6" t="s">
        <v>27</v>
      </c>
    </row>
    <row r="14" spans="1:17">
      <c r="A14" s="3" t="s">
        <v>0</v>
      </c>
      <c r="B14" s="3" t="s">
        <v>1</v>
      </c>
      <c r="C14" s="3" t="s">
        <v>20</v>
      </c>
      <c r="P14" s="4" t="s">
        <v>131</v>
      </c>
      <c r="Q14">
        <v>0.04</v>
      </c>
    </row>
    <row r="15" spans="1:17">
      <c r="A15" t="s">
        <v>2</v>
      </c>
      <c r="B15" s="4" t="s">
        <v>238</v>
      </c>
      <c r="C15" s="4" t="s">
        <v>239</v>
      </c>
      <c r="D15">
        <v>40</v>
      </c>
      <c r="E15">
        <v>1040</v>
      </c>
      <c r="F15">
        <v>0</v>
      </c>
      <c r="P15" s="4" t="s">
        <v>220</v>
      </c>
      <c r="Q15">
        <v>4.6147000000000001E-2</v>
      </c>
    </row>
    <row r="16" spans="1:17">
      <c r="A16" t="s">
        <v>3</v>
      </c>
      <c r="B16" t="s">
        <v>3</v>
      </c>
      <c r="C16" t="s">
        <v>3</v>
      </c>
      <c r="D16">
        <v>60</v>
      </c>
      <c r="E16">
        <v>60</v>
      </c>
      <c r="F16">
        <v>1060</v>
      </c>
      <c r="P16" s="4" t="s">
        <v>221</v>
      </c>
      <c r="Q16">
        <v>4.6712999999999998E-2</v>
      </c>
    </row>
    <row r="17" spans="1:16">
      <c r="A17" t="s">
        <v>4</v>
      </c>
      <c r="B17" t="s">
        <v>19</v>
      </c>
      <c r="C17" t="s">
        <v>21</v>
      </c>
      <c r="D17">
        <v>0</v>
      </c>
      <c r="E17">
        <v>0</v>
      </c>
      <c r="F17">
        <v>1000</v>
      </c>
    </row>
    <row r="18" spans="1:16">
      <c r="A18" t="s">
        <v>5</v>
      </c>
      <c r="B18" t="s">
        <v>22</v>
      </c>
      <c r="C18" t="s">
        <v>22</v>
      </c>
    </row>
    <row r="20" spans="1:16">
      <c r="D20">
        <f t="array" ref="D20:F22">MINVERSE(D15:F17)</f>
        <v>-1E-3</v>
      </c>
      <c r="E20">
        <v>1.7333333333333333E-2</v>
      </c>
      <c r="F20">
        <v>-1.8373333333333335E-2</v>
      </c>
      <c r="G20">
        <v>1000</v>
      </c>
      <c r="H20">
        <f t="array" ref="H20:H22">MMULT(D20:F22,G20:G22)</f>
        <v>0.96143999999999608</v>
      </c>
      <c r="I20">
        <f>1/H20-1</f>
        <v>4.0106506906311346E-2</v>
      </c>
      <c r="J20" s="3" t="s">
        <v>14</v>
      </c>
      <c r="P20">
        <v>1000</v>
      </c>
    </row>
    <row r="21" spans="1:16">
      <c r="D21">
        <v>1E-3</v>
      </c>
      <c r="E21">
        <v>-6.6666666666666664E-4</v>
      </c>
      <c r="F21">
        <v>7.0666666666666664E-4</v>
      </c>
      <c r="G21">
        <v>1055.5</v>
      </c>
      <c r="H21">
        <v>0.92455999999999994</v>
      </c>
      <c r="I21">
        <f>(1/H21^0.5)-1</f>
        <v>3.9997870086543097E-2</v>
      </c>
      <c r="J21" s="3" t="s">
        <v>15</v>
      </c>
      <c r="P21">
        <v>1055.5</v>
      </c>
    </row>
    <row r="22" spans="1:16">
      <c r="D22">
        <v>0</v>
      </c>
      <c r="E22">
        <v>0</v>
      </c>
      <c r="F22">
        <v>1E-3</v>
      </c>
      <c r="G22">
        <v>889</v>
      </c>
      <c r="H22">
        <v>0.88900000000000001</v>
      </c>
      <c r="I22">
        <f>(1/H22^0.3333333)-1</f>
        <v>3.9998575978404061E-2</v>
      </c>
      <c r="J22" s="3" t="s">
        <v>23</v>
      </c>
      <c r="P22">
        <v>889</v>
      </c>
    </row>
    <row r="23" spans="1:16">
      <c r="D23" s="3" t="s">
        <v>28</v>
      </c>
      <c r="E23" s="3"/>
      <c r="G23" s="3" t="s">
        <v>8</v>
      </c>
      <c r="H23" s="3" t="s">
        <v>10</v>
      </c>
      <c r="I23" s="3" t="s">
        <v>12</v>
      </c>
      <c r="J23" s="3" t="s">
        <v>16</v>
      </c>
      <c r="K23" s="4">
        <f>(1+I21)^2/(1+I20)-1</f>
        <v>3.9889244613649844E-2</v>
      </c>
      <c r="P23">
        <f>12000000/1.04+14000000/1.04^2+15000000/1.04^3</f>
        <v>37817193.900773779</v>
      </c>
    </row>
    <row r="24" spans="1:16">
      <c r="D24" s="3"/>
      <c r="E24" s="3"/>
      <c r="G24" s="3" t="s">
        <v>9</v>
      </c>
      <c r="H24" s="3" t="s">
        <v>11</v>
      </c>
      <c r="I24" s="3" t="s">
        <v>13</v>
      </c>
      <c r="J24" s="3" t="s">
        <v>24</v>
      </c>
      <c r="K24" s="4">
        <f>((1+I22)^3/(1+I22))^0.5-1</f>
        <v>3.9998575978404061E-2</v>
      </c>
    </row>
    <row r="25" spans="1:16">
      <c r="D25" s="3"/>
      <c r="E25" s="3"/>
      <c r="G25" s="3"/>
      <c r="H25" s="3"/>
      <c r="I25" s="3"/>
      <c r="J25" s="3" t="s">
        <v>25</v>
      </c>
      <c r="K25" s="4">
        <f>((1+I22)^3/(1+I20))^0.5-1</f>
        <v>3.9944614714484183E-2</v>
      </c>
    </row>
    <row r="26" spans="1:16">
      <c r="J26" s="3" t="s">
        <v>18</v>
      </c>
    </row>
    <row r="27" spans="1:16">
      <c r="J27" s="3" t="s">
        <v>13</v>
      </c>
    </row>
    <row r="28" spans="1:16" s="5" customFormat="1"/>
    <row r="29" spans="1:16" ht="18">
      <c r="A29" s="6" t="s">
        <v>172</v>
      </c>
    </row>
    <row r="30" spans="1:16">
      <c r="A30" s="3" t="s">
        <v>209</v>
      </c>
      <c r="B30" s="3" t="s">
        <v>210</v>
      </c>
      <c r="C30" s="3" t="s">
        <v>211</v>
      </c>
    </row>
    <row r="31" spans="1:16">
      <c r="A31" s="4" t="s">
        <v>173</v>
      </c>
      <c r="B31" t="s">
        <v>19</v>
      </c>
      <c r="C31" s="4" t="s">
        <v>245</v>
      </c>
    </row>
    <row r="32" spans="1:16">
      <c r="A32" t="s">
        <v>176</v>
      </c>
      <c r="B32" t="s">
        <v>177</v>
      </c>
      <c r="C32" t="s">
        <v>178</v>
      </c>
    </row>
    <row r="33" spans="1:8">
      <c r="A33" t="s">
        <v>5</v>
      </c>
      <c r="B33" t="s">
        <v>22</v>
      </c>
      <c r="C33" t="s">
        <v>22</v>
      </c>
    </row>
    <row r="34" spans="1:8">
      <c r="A34" t="s">
        <v>3</v>
      </c>
      <c r="B34" t="s">
        <v>3</v>
      </c>
      <c r="C34" t="s">
        <v>3</v>
      </c>
    </row>
    <row r="35" spans="1:8">
      <c r="A35" t="s">
        <v>174</v>
      </c>
    </row>
    <row r="36" spans="1:8">
      <c r="A36" s="3" t="s">
        <v>175</v>
      </c>
    </row>
    <row r="37" spans="1:8">
      <c r="A37">
        <v>50</v>
      </c>
      <c r="B37">
        <v>1050</v>
      </c>
      <c r="C37">
        <v>0</v>
      </c>
    </row>
    <row r="38" spans="1:8">
      <c r="A38">
        <v>60</v>
      </c>
      <c r="B38">
        <v>60</v>
      </c>
      <c r="C38">
        <v>1060</v>
      </c>
    </row>
    <row r="39" spans="1:8">
      <c r="A39">
        <v>90</v>
      </c>
      <c r="B39">
        <v>90</v>
      </c>
      <c r="C39">
        <v>1090</v>
      </c>
    </row>
    <row r="42" spans="1:8">
      <c r="A42">
        <f t="array" ref="A42:C44">MINVERSE(A37:C39)</f>
        <v>-1E-3</v>
      </c>
      <c r="B42">
        <v>-3.8149999999999996E-2</v>
      </c>
      <c r="C42">
        <v>3.7099999999999994E-2</v>
      </c>
      <c r="D42">
        <v>947.37599999999998</v>
      </c>
      <c r="E42">
        <f t="array" ref="E42:E44">MMULT(A42:C44,D42:D44)</f>
        <v>0.94337720000000047</v>
      </c>
      <c r="F42">
        <f>1/E42-1</f>
        <v>6.0021378511161183E-2</v>
      </c>
      <c r="G42" s="3" t="s">
        <v>14</v>
      </c>
    </row>
    <row r="43" spans="1:8">
      <c r="A43">
        <v>1E-3</v>
      </c>
      <c r="B43">
        <v>1.8166666666666665E-3</v>
      </c>
      <c r="C43">
        <v>-1.7666666666666664E-3</v>
      </c>
      <c r="D43">
        <v>904.43799999999999</v>
      </c>
      <c r="E43">
        <v>0.85734013333333348</v>
      </c>
      <c r="F43">
        <f>(1/E43^0.5)-1</f>
        <v>7.9999172980149913E-2</v>
      </c>
      <c r="G43" s="3" t="s">
        <v>15</v>
      </c>
    </row>
    <row r="44" spans="1:8">
      <c r="A44">
        <v>0</v>
      </c>
      <c r="B44">
        <v>2.9999999999999996E-3</v>
      </c>
      <c r="C44">
        <v>-1.9999999999999996E-3</v>
      </c>
      <c r="D44">
        <v>980.99900000000002</v>
      </c>
      <c r="E44">
        <v>0.75131599999999987</v>
      </c>
      <c r="F44">
        <f>(1/E44^0.3333333)-1</f>
        <v>9.9999404316567064E-2</v>
      </c>
      <c r="G44" s="3" t="s">
        <v>23</v>
      </c>
    </row>
    <row r="45" spans="1:8">
      <c r="A45" s="3" t="s">
        <v>28</v>
      </c>
      <c r="B45" s="3"/>
      <c r="D45" s="3" t="s">
        <v>8</v>
      </c>
      <c r="E45" s="3" t="s">
        <v>10</v>
      </c>
      <c r="F45" s="3" t="s">
        <v>12</v>
      </c>
      <c r="G45" s="3" t="s">
        <v>16</v>
      </c>
      <c r="H45" s="4">
        <f>(1+F43)^2/(1+F42)-1</f>
        <v>0.10035348086663753</v>
      </c>
    </row>
    <row r="46" spans="1:8">
      <c r="A46" s="3"/>
      <c r="B46" s="3"/>
      <c r="D46" s="3" t="s">
        <v>9</v>
      </c>
      <c r="E46" s="3" t="s">
        <v>11</v>
      </c>
      <c r="F46" s="3" t="s">
        <v>13</v>
      </c>
      <c r="G46" s="3" t="s">
        <v>24</v>
      </c>
      <c r="H46" s="4">
        <f>(1+F44)^3/((1+H45)*(1+F42))-1</f>
        <v>0.14111786361464174</v>
      </c>
    </row>
    <row r="47" spans="1:8">
      <c r="A47" s="3"/>
      <c r="B47" s="3"/>
      <c r="D47" s="3"/>
      <c r="E47" s="3"/>
      <c r="F47" s="3"/>
      <c r="G47" s="3" t="s">
        <v>25</v>
      </c>
      <c r="H47" s="4">
        <f>((1+F44)^3/(1+F42))^0.5-1</f>
        <v>0.12055031716896658</v>
      </c>
    </row>
    <row r="48" spans="1:8">
      <c r="G48" s="3" t="s">
        <v>18</v>
      </c>
    </row>
    <row r="49" spans="1:7">
      <c r="G49" s="3" t="s">
        <v>13</v>
      </c>
    </row>
    <row r="51" spans="1:7">
      <c r="A51" s="3" t="s">
        <v>243</v>
      </c>
    </row>
    <row r="52" spans="1:7">
      <c r="A52" s="4" t="s">
        <v>244</v>
      </c>
    </row>
    <row r="53" spans="1:7">
      <c r="A53" s="4" t="s">
        <v>246</v>
      </c>
      <c r="B53">
        <f>20*E42+20*E43+1020*E44</f>
        <v>802.35666666666657</v>
      </c>
      <c r="C53" s="4" t="s">
        <v>247</v>
      </c>
    </row>
    <row r="54" spans="1:7">
      <c r="A54" t="s">
        <v>22</v>
      </c>
    </row>
    <row r="55" spans="1:7">
      <c r="A55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Bond Valuation</vt:lpstr>
      <vt:lpstr>Yield To Maturity</vt:lpstr>
      <vt:lpstr>Fixed Income Arbitrage</vt:lpstr>
      <vt:lpstr>Fixed Income Dedication</vt:lpstr>
      <vt:lpstr>Bond Duration and Immunization</vt:lpstr>
      <vt:lpstr>Duration,Convexity&amp;Immunization</vt:lpstr>
      <vt:lpstr>Immunization Part 3</vt:lpstr>
      <vt:lpstr>Immunization Illustration 4</vt:lpstr>
      <vt:lpstr>Bootstrapping the Yield Curve</vt:lpstr>
      <vt:lpstr>The Yield Curve</vt:lpstr>
      <vt:lpstr>Yield Curves</vt:lpstr>
    </vt:vector>
  </TitlesOfParts>
  <Company>Pace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John</cp:lastModifiedBy>
  <dcterms:created xsi:type="dcterms:W3CDTF">2002-02-01T15:05:39Z</dcterms:created>
  <dcterms:modified xsi:type="dcterms:W3CDTF">2014-01-26T18:36:00Z</dcterms:modified>
</cp:coreProperties>
</file>