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6470" yWindow="90" windowWidth="12120" windowHeight="9240" tabRatio="599"/>
  </bookViews>
  <sheets>
    <sheet name="NAV and Fund Returns" sheetId="42" r:id="rId1"/>
    <sheet name="Jensen's Alpha" sheetId="44" r:id="rId2"/>
    <sheet name="VaR" sheetId="43" r:id="rId3"/>
  </sheets>
  <calcPr calcId="124519"/>
</workbook>
</file>

<file path=xl/calcChain.xml><?xml version="1.0" encoding="utf-8"?>
<calcChain xmlns="http://schemas.openxmlformats.org/spreadsheetml/2006/main">
  <c r="A23" i="44"/>
  <c r="A19"/>
  <c r="A18"/>
  <c r="A14"/>
  <c r="E32" i="43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F24"/>
  <c r="E24"/>
  <c r="E23"/>
  <c r="F23" s="1"/>
  <c r="F22"/>
  <c r="E22"/>
  <c r="E21"/>
  <c r="F21" s="1"/>
  <c r="E20"/>
  <c r="F20" s="1"/>
  <c r="J18"/>
  <c r="F18"/>
  <c r="G7"/>
  <c r="F7"/>
  <c r="I6" a="1"/>
  <c r="I6" s="1"/>
  <c r="G6"/>
  <c r="F6"/>
  <c r="G5"/>
  <c r="E7" s="1"/>
  <c r="F5"/>
  <c r="E6" s="1"/>
  <c r="E5"/>
  <c r="J3"/>
  <c r="H3"/>
  <c r="O13" i="42"/>
  <c r="O12"/>
  <c r="O11"/>
  <c r="O10"/>
  <c r="O9"/>
  <c r="O8"/>
  <c r="O7"/>
  <c r="O6"/>
  <c r="O5"/>
  <c r="I6"/>
  <c r="G5"/>
  <c r="F5" s="1"/>
  <c r="E5"/>
  <c r="E6" s="1"/>
  <c r="A5"/>
  <c r="A6" s="1"/>
  <c r="A7" s="1"/>
  <c r="A8" s="1"/>
  <c r="A9" s="1"/>
  <c r="A10" s="1"/>
  <c r="A11" s="1"/>
  <c r="G4"/>
  <c r="E4"/>
  <c r="D18" i="43" l="1"/>
  <c r="I28" s="1"/>
  <c r="J28" s="1"/>
  <c r="B18"/>
  <c r="G27" s="1"/>
  <c r="H27" s="1"/>
  <c r="F33"/>
  <c r="B34" s="1"/>
  <c r="K6"/>
  <c r="G30"/>
  <c r="H30" s="1"/>
  <c r="G32"/>
  <c r="H32" s="1"/>
  <c r="J6"/>
  <c r="I21"/>
  <c r="J21" s="1"/>
  <c r="G22"/>
  <c r="H22" s="1"/>
  <c r="G31"/>
  <c r="H31" s="1"/>
  <c r="F6" i="42"/>
  <c r="G6"/>
  <c r="H5"/>
  <c r="E7"/>
  <c r="I23" i="43" l="1"/>
  <c r="J23" s="1"/>
  <c r="I25"/>
  <c r="J25" s="1"/>
  <c r="I22"/>
  <c r="J22" s="1"/>
  <c r="I27"/>
  <c r="J27" s="1"/>
  <c r="G28"/>
  <c r="H28" s="1"/>
  <c r="I24"/>
  <c r="J24" s="1"/>
  <c r="I30"/>
  <c r="J30" s="1"/>
  <c r="I29"/>
  <c r="J29" s="1"/>
  <c r="I20"/>
  <c r="J20" s="1"/>
  <c r="J33" s="1"/>
  <c r="G26"/>
  <c r="H26" s="1"/>
  <c r="G25"/>
  <c r="H25" s="1"/>
  <c r="G21"/>
  <c r="H21" s="1"/>
  <c r="G29"/>
  <c r="H29" s="1"/>
  <c r="G20"/>
  <c r="H20" s="1"/>
  <c r="I32"/>
  <c r="J32" s="1"/>
  <c r="G24"/>
  <c r="H24" s="1"/>
  <c r="I26"/>
  <c r="J26" s="1"/>
  <c r="M6" a="1"/>
  <c r="N6" s="1"/>
  <c r="I31"/>
  <c r="J31" s="1"/>
  <c r="G23"/>
  <c r="H23" s="1"/>
  <c r="M6"/>
  <c r="O6"/>
  <c r="E8" i="42"/>
  <c r="H6"/>
  <c r="G7"/>
  <c r="H33" i="43" l="1"/>
  <c r="Q6" a="1"/>
  <c r="Q6" s="1"/>
  <c r="S6" s="1"/>
  <c r="B10" s="1"/>
  <c r="E9" i="42"/>
  <c r="H7"/>
  <c r="F7"/>
  <c r="E10" l="1"/>
  <c r="F8"/>
  <c r="G8"/>
  <c r="E11" l="1"/>
  <c r="F9"/>
  <c r="G9"/>
  <c r="H8"/>
  <c r="F10" l="1"/>
  <c r="G10"/>
  <c r="H9"/>
  <c r="F11" l="1"/>
  <c r="G11"/>
  <c r="H10"/>
  <c r="H11" l="1"/>
</calcChain>
</file>

<file path=xl/sharedStrings.xml><?xml version="1.0" encoding="utf-8"?>
<sst xmlns="http://schemas.openxmlformats.org/spreadsheetml/2006/main" count="104" uniqueCount="90">
  <si>
    <t>t</t>
  </si>
  <si>
    <t>Standard Deviation</t>
  </si>
  <si>
    <t>Date</t>
  </si>
  <si>
    <t>N/A</t>
  </si>
  <si>
    <t xml:space="preserve">      V</t>
  </si>
  <si>
    <t xml:space="preserve">   w'</t>
  </si>
  <si>
    <t xml:space="preserve">   w'V</t>
  </si>
  <si>
    <t>Portfolio Variance</t>
  </si>
  <si>
    <t>NAV and Fund Returns</t>
  </si>
  <si>
    <t>Investor</t>
  </si>
  <si>
    <t>Fund</t>
  </si>
  <si>
    <t>Number of</t>
  </si>
  <si>
    <t>Net Asset</t>
  </si>
  <si>
    <t>Trading</t>
  </si>
  <si>
    <t>Contributions</t>
  </si>
  <si>
    <t>Withdrawals</t>
  </si>
  <si>
    <t>Dividends</t>
  </si>
  <si>
    <t>Assets</t>
  </si>
  <si>
    <t>Shares</t>
  </si>
  <si>
    <t>Value</t>
  </si>
  <si>
    <r>
      <t>return (r</t>
    </r>
    <r>
      <rPr>
        <b/>
        <u/>
        <vertAlign val="subscript"/>
        <sz val="11"/>
        <color theme="1"/>
        <rFont val="Calibri"/>
        <family val="2"/>
        <scheme val="minor"/>
      </rPr>
      <t>t</t>
    </r>
    <r>
      <rPr>
        <b/>
        <u/>
        <sz val="11"/>
        <color theme="1"/>
        <rFont val="Calibri"/>
        <family val="2"/>
        <scheme val="minor"/>
      </rPr>
      <t>)</t>
    </r>
  </si>
  <si>
    <t>Profits</t>
  </si>
  <si>
    <t>(3-day return)</t>
  </si>
  <si>
    <r>
      <t>(1 + r</t>
    </r>
    <r>
      <rPr>
        <b/>
        <u/>
        <vertAlign val="subscript"/>
        <sz val="11"/>
        <color theme="1"/>
        <rFont val="Calibri"/>
        <family val="2"/>
        <scheme val="minor"/>
      </rPr>
      <t>t</t>
    </r>
    <r>
      <rPr>
        <b/>
        <u/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</si>
  <si>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  <scheme val="minor"/>
      </rPr>
      <t>(1 + r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</si>
  <si>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  <scheme val="minor"/>
      </rPr>
      <t>(1 + r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)^(1/9)</t>
    </r>
  </si>
  <si>
    <t>Value at Risk (VaR) Illustrations</t>
  </si>
  <si>
    <t>Stock Portfolio</t>
  </si>
  <si>
    <t>$ Invested</t>
  </si>
  <si>
    <r>
      <rPr>
        <b/>
        <sz val="11"/>
        <color theme="1"/>
        <rFont val="Symbol"/>
        <family val="1"/>
        <charset val="2"/>
      </rPr>
      <t>a</t>
    </r>
    <r>
      <rPr>
        <b/>
        <sz val="11"/>
        <color theme="1"/>
        <rFont val="Calibri"/>
        <family val="2"/>
      </rPr>
      <t xml:space="preserve"> </t>
    </r>
  </si>
  <si>
    <t>z</t>
  </si>
  <si>
    <t>wi</t>
  </si>
  <si>
    <t xml:space="preserve">σi = </t>
  </si>
  <si>
    <t xml:space="preserve">σi,j = </t>
  </si>
  <si>
    <t xml:space="preserve"> = σ1,2</t>
  </si>
  <si>
    <t xml:space="preserve"> = σ1,3</t>
  </si>
  <si>
    <t xml:space="preserve"> = σ2,3</t>
  </si>
  <si>
    <t xml:space="preserve">      w</t>
  </si>
  <si>
    <t xml:space="preserve">VaR = </t>
  </si>
  <si>
    <t>Portfolio with Stock, Calls and Puts</t>
  </si>
  <si>
    <t xml:space="preserve">S0 = </t>
  </si>
  <si>
    <t xml:space="preserve">σ0 = </t>
  </si>
  <si>
    <t xml:space="preserve">rf = </t>
  </si>
  <si>
    <t xml:space="preserve">S1u = </t>
  </si>
  <si>
    <t>S1d =</t>
  </si>
  <si>
    <t>t =</t>
  </si>
  <si>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</rPr>
      <t xml:space="preserve"> = </t>
    </r>
  </si>
  <si>
    <t>z =</t>
  </si>
  <si>
    <t>Security</t>
  </si>
  <si>
    <t>Number</t>
  </si>
  <si>
    <t>X</t>
  </si>
  <si>
    <t>T</t>
  </si>
  <si>
    <t>V0</t>
  </si>
  <si>
    <t>Total0</t>
  </si>
  <si>
    <t>V1u</t>
  </si>
  <si>
    <t>Totalu</t>
  </si>
  <si>
    <t>V1d</t>
  </si>
  <si>
    <t>Totald</t>
  </si>
  <si>
    <t>Call</t>
  </si>
  <si>
    <t>Put</t>
  </si>
  <si>
    <t>Stock</t>
  </si>
  <si>
    <t>Total</t>
  </si>
  <si>
    <t>VaR =</t>
  </si>
  <si>
    <t>Jensen's Alpha Illustration: Simple OLS</t>
  </si>
  <si>
    <t>Rp-rf</t>
  </si>
  <si>
    <t>Rm-rf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</si>
  <si>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</si>
  <si>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</si>
  <si>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</si>
  <si>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</si>
  <si>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</si>
  <si>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</si>
  <si>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</si>
  <si>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</si>
  <si>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</si>
  <si>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</si>
  <si>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</si>
  <si>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</si>
  <si>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</si>
  <si>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</si>
  <si>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</si>
  <si>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</si>
  <si>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</si>
  <si>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</si>
  <si>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</si>
  <si>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</si>
  <si>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</si>
  <si>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</si>
  <si>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</si>
  <si>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X Variable 1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</si>
</sst>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11"/>
      <color theme="1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sz val="11"/>
      <color theme="1"/>
      <name val="Symbol"/>
      <family val="1"/>
      <charset val="2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0" fontId="6" fillId="0" borderId="0"/>
    <xf numFmtId="0" fontId="8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</cellStyleXfs>
  <cellXfs count="30">
    <xf numFmtId="0" fontId="0" fillId="0" borderId="0" xfId="0"/>
    <xf numFmtId="0" fontId="10" fillId="2" borderId="0" xfId="4" applyFont="1" applyFill="1"/>
    <xf numFmtId="0" fontId="3" fillId="0" borderId="0" xfId="4"/>
    <xf numFmtId="0" fontId="9" fillId="0" borderId="0" xfId="4" applyFont="1"/>
    <xf numFmtId="0" fontId="11" fillId="0" borderId="0" xfId="4" applyFont="1"/>
    <xf numFmtId="14" fontId="3" fillId="0" borderId="0" xfId="4" applyNumberFormat="1"/>
    <xf numFmtId="3" fontId="3" fillId="0" borderId="0" xfId="4" applyNumberFormat="1"/>
    <xf numFmtId="4" fontId="3" fillId="0" borderId="0" xfId="4" applyNumberFormat="1"/>
    <xf numFmtId="10" fontId="3" fillId="0" borderId="0" xfId="4" applyNumberFormat="1"/>
    <xf numFmtId="0" fontId="10" fillId="2" borderId="0" xfId="5" applyFont="1" applyFill="1"/>
    <xf numFmtId="0" fontId="2" fillId="0" borderId="0" xfId="5"/>
    <xf numFmtId="0" fontId="9" fillId="2" borderId="0" xfId="5" applyFont="1" applyFill="1"/>
    <xf numFmtId="0" fontId="15" fillId="2" borderId="0" xfId="5" applyNumberFormat="1" applyFont="1" applyFill="1"/>
    <xf numFmtId="0" fontId="16" fillId="2" borderId="0" xfId="5" applyNumberFormat="1" applyFont="1" applyFill="1"/>
    <xf numFmtId="0" fontId="16" fillId="0" borderId="0" xfId="5" quotePrefix="1" applyNumberFormat="1" applyFont="1"/>
    <xf numFmtId="0" fontId="7" fillId="2" borderId="0" xfId="5" applyFont="1" applyFill="1"/>
    <xf numFmtId="0" fontId="2" fillId="2" borderId="0" xfId="5" applyFill="1"/>
    <xf numFmtId="0" fontId="5" fillId="0" borderId="0" xfId="5" applyFont="1"/>
    <xf numFmtId="0" fontId="5" fillId="2" borderId="0" xfId="5" applyNumberFormat="1" applyFont="1" applyFill="1"/>
    <xf numFmtId="0" fontId="2" fillId="0" borderId="0" xfId="5" applyNumberFormat="1"/>
    <xf numFmtId="0" fontId="2" fillId="2" borderId="0" xfId="5" applyNumberFormat="1" applyFill="1"/>
    <xf numFmtId="0" fontId="17" fillId="2" borderId="0" xfId="5" applyNumberFormat="1" applyFont="1" applyFill="1"/>
    <xf numFmtId="0" fontId="9" fillId="0" borderId="0" xfId="5" applyFont="1"/>
    <xf numFmtId="0" fontId="19" fillId="0" borderId="0" xfId="1" applyFont="1"/>
    <xf numFmtId="0" fontId="6" fillId="0" borderId="0" xfId="1"/>
    <xf numFmtId="0" fontId="11" fillId="0" borderId="0" xfId="1" applyFont="1"/>
    <xf numFmtId="0" fontId="20" fillId="0" borderId="1" xfId="1" applyFont="1" applyFill="1" applyBorder="1" applyAlignment="1">
      <alignment horizontal="centerContinuous"/>
    </xf>
    <xf numFmtId="0" fontId="6" fillId="0" borderId="0" xfId="1" applyFill="1" applyBorder="1" applyAlignment="1"/>
    <xf numFmtId="0" fontId="6" fillId="0" borderId="2" xfId="1" applyFill="1" applyBorder="1" applyAlignment="1"/>
    <xf numFmtId="0" fontId="20" fillId="0" borderId="1" xfId="1" applyFont="1" applyFill="1" applyBorder="1" applyAlignment="1">
      <alignment horizontal="center"/>
    </xf>
  </cellXfs>
  <cellStyles count="10">
    <cellStyle name="Normal" xfId="0" builtinId="0"/>
    <cellStyle name="Normal 11" xfId="6"/>
    <cellStyle name="Normal 12" xfId="7"/>
    <cellStyle name="Normal 2" xfId="1"/>
    <cellStyle name="Normal 3" xfId="2"/>
    <cellStyle name="Normal 4" xfId="3"/>
    <cellStyle name="Normal 5" xfId="4"/>
    <cellStyle name="Normal 6" xfId="5"/>
    <cellStyle name="Normal 7" xfId="8"/>
    <cellStyle name="Normal 9" xfId="9"/>
  </cellStyles>
  <dxfs count="0"/>
  <tableStyles count="0" defaultTableStyle="TableStyleMedium9" defaultPivotStyle="PivotStyleLight16"/>
  <colors>
    <mruColors>
      <color rgb="FF99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6</xdr:col>
      <xdr:colOff>266700</xdr:colOff>
      <xdr:row>45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19625"/>
          <a:ext cx="4657725" cy="293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tabSelected="1" workbookViewId="0">
      <selection activeCell="A2" sqref="A2"/>
    </sheetView>
  </sheetViews>
  <sheetFormatPr defaultRowHeight="15"/>
  <cols>
    <col min="1" max="1" width="10" style="2" customWidth="1"/>
    <col min="2" max="2" width="14.140625" style="2" customWidth="1"/>
    <col min="3" max="4" width="12.28515625" style="2" customWidth="1"/>
    <col min="5" max="5" width="13.140625" style="2" customWidth="1"/>
    <col min="6" max="6" width="10.5703125" style="2" customWidth="1"/>
    <col min="7" max="7" width="9.140625" style="2"/>
    <col min="8" max="8" width="10.140625" style="2" bestFit="1" customWidth="1"/>
    <col min="9" max="16384" width="9.140625" style="2"/>
  </cols>
  <sheetData>
    <row r="1" spans="1:16" ht="18.75">
      <c r="A1" s="1" t="s">
        <v>8</v>
      </c>
      <c r="B1" s="1"/>
      <c r="C1" s="1"/>
    </row>
    <row r="2" spans="1:16">
      <c r="A2" s="3"/>
      <c r="B2" s="3" t="s">
        <v>9</v>
      </c>
      <c r="C2" s="3" t="s">
        <v>9</v>
      </c>
      <c r="D2" s="3" t="s">
        <v>10</v>
      </c>
      <c r="E2" s="3"/>
      <c r="F2" s="3" t="s">
        <v>11</v>
      </c>
      <c r="G2" s="3" t="s">
        <v>12</v>
      </c>
      <c r="H2" s="3"/>
      <c r="L2" s="3" t="s">
        <v>13</v>
      </c>
    </row>
    <row r="3" spans="1:16" ht="18">
      <c r="A3" s="4" t="s">
        <v>2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L3" s="3" t="s">
        <v>21</v>
      </c>
      <c r="O3" s="4" t="s">
        <v>23</v>
      </c>
    </row>
    <row r="4" spans="1:16">
      <c r="A4" s="5">
        <v>41276</v>
      </c>
      <c r="B4" s="6">
        <v>10000000</v>
      </c>
      <c r="C4" s="6">
        <v>0</v>
      </c>
      <c r="D4" s="6">
        <v>0</v>
      </c>
      <c r="E4" s="6">
        <f>B4-C4</f>
        <v>10000000</v>
      </c>
      <c r="F4" s="6">
        <v>1000000</v>
      </c>
      <c r="G4" s="7">
        <f>(E4)/F4</f>
        <v>10</v>
      </c>
      <c r="H4" s="7" t="s">
        <v>3</v>
      </c>
      <c r="L4" s="2" t="s">
        <v>3</v>
      </c>
    </row>
    <row r="5" spans="1:16">
      <c r="A5" s="5">
        <f>A4+1</f>
        <v>41277</v>
      </c>
      <c r="B5" s="6">
        <v>0</v>
      </c>
      <c r="C5" s="6">
        <v>0</v>
      </c>
      <c r="D5" s="6">
        <v>0</v>
      </c>
      <c r="E5" s="6">
        <f>E4+B5-C5-D5+L5</f>
        <v>10200000</v>
      </c>
      <c r="F5" s="6">
        <f>F4+(B5-C5)/G5</f>
        <v>1000000</v>
      </c>
      <c r="G5" s="7">
        <f>(E4+L5-D5)/F4</f>
        <v>10.199999999999999</v>
      </c>
      <c r="H5" s="8">
        <f>(G5-G4+(D5/F5))/G4</f>
        <v>1.9999999999999928E-2</v>
      </c>
      <c r="L5" s="2">
        <v>200000</v>
      </c>
      <c r="O5" s="8">
        <f>1+H5</f>
        <v>1.02</v>
      </c>
    </row>
    <row r="6" spans="1:16">
      <c r="A6" s="5">
        <f t="shared" ref="A6:A11" si="0">A5+1</f>
        <v>41278</v>
      </c>
      <c r="B6" s="6">
        <v>0</v>
      </c>
      <c r="C6" s="6">
        <v>0</v>
      </c>
      <c r="D6" s="6">
        <v>0</v>
      </c>
      <c r="E6" s="6">
        <f t="shared" ref="E6:E11" si="1">E5+B6-C6-D6+L6</f>
        <v>9800000</v>
      </c>
      <c r="F6" s="6">
        <f t="shared" ref="F6:F11" si="2">F5+(B6-C6)/G6</f>
        <v>1000000</v>
      </c>
      <c r="G6" s="7">
        <f t="shared" ref="G6:G11" si="3">(E5+L6-D6)/F5</f>
        <v>9.8000000000000007</v>
      </c>
      <c r="H6" s="8">
        <f t="shared" ref="H6:H11" si="4">(G6-G5+(D6/F6))/G5</f>
        <v>-3.9215686274509665E-2</v>
      </c>
      <c r="I6" s="2">
        <f>H6/3</f>
        <v>-1.3071895424836555E-2</v>
      </c>
      <c r="J6" s="2" t="s">
        <v>22</v>
      </c>
      <c r="L6" s="2">
        <v>-400000</v>
      </c>
      <c r="O6" s="8">
        <f t="shared" ref="O6:O11" si="5">1+H6</f>
        <v>0.96078431372549034</v>
      </c>
    </row>
    <row r="7" spans="1:16">
      <c r="A7" s="5">
        <f>A6+3</f>
        <v>41281</v>
      </c>
      <c r="B7" s="6">
        <v>0</v>
      </c>
      <c r="C7" s="6">
        <v>0</v>
      </c>
      <c r="D7" s="6">
        <v>0</v>
      </c>
      <c r="E7" s="6">
        <f t="shared" si="1"/>
        <v>10000000</v>
      </c>
      <c r="F7" s="6">
        <f t="shared" si="2"/>
        <v>1000000</v>
      </c>
      <c r="G7" s="7">
        <f t="shared" si="3"/>
        <v>10</v>
      </c>
      <c r="H7" s="8">
        <f t="shared" si="4"/>
        <v>2.0408163265306048E-2</v>
      </c>
      <c r="L7" s="2">
        <v>200000</v>
      </c>
      <c r="O7" s="8">
        <f t="shared" si="5"/>
        <v>1.0204081632653061</v>
      </c>
    </row>
    <row r="8" spans="1:16">
      <c r="A8" s="5">
        <f t="shared" si="0"/>
        <v>41282</v>
      </c>
      <c r="B8" s="6">
        <v>0</v>
      </c>
      <c r="C8" s="6">
        <v>0</v>
      </c>
      <c r="D8" s="6">
        <v>200000</v>
      </c>
      <c r="E8" s="6">
        <f t="shared" si="1"/>
        <v>10000000</v>
      </c>
      <c r="F8" s="6">
        <f t="shared" si="2"/>
        <v>1000000</v>
      </c>
      <c r="G8" s="7">
        <f t="shared" si="3"/>
        <v>10</v>
      </c>
      <c r="H8" s="8">
        <f t="shared" si="4"/>
        <v>0.02</v>
      </c>
      <c r="L8" s="2">
        <v>200000</v>
      </c>
      <c r="O8" s="8">
        <f t="shared" si="5"/>
        <v>1.02</v>
      </c>
    </row>
    <row r="9" spans="1:16">
      <c r="A9" s="5">
        <f t="shared" si="0"/>
        <v>41283</v>
      </c>
      <c r="B9" s="6">
        <v>0</v>
      </c>
      <c r="C9" s="6">
        <v>200000</v>
      </c>
      <c r="D9" s="6">
        <v>0</v>
      </c>
      <c r="E9" s="6">
        <f t="shared" si="1"/>
        <v>10000000</v>
      </c>
      <c r="F9" s="6">
        <f t="shared" si="2"/>
        <v>980392.15686274506</v>
      </c>
      <c r="G9" s="7">
        <f t="shared" si="3"/>
        <v>10.199999999999999</v>
      </c>
      <c r="H9" s="8">
        <f t="shared" si="4"/>
        <v>1.9999999999999928E-2</v>
      </c>
      <c r="L9" s="2">
        <v>200000</v>
      </c>
      <c r="O9" s="8">
        <f t="shared" si="5"/>
        <v>1.02</v>
      </c>
    </row>
    <row r="10" spans="1:16">
      <c r="A10" s="5">
        <f t="shared" si="0"/>
        <v>41284</v>
      </c>
      <c r="B10" s="6">
        <v>200000</v>
      </c>
      <c r="C10" s="6">
        <v>0</v>
      </c>
      <c r="D10" s="6">
        <v>0</v>
      </c>
      <c r="E10" s="6">
        <f t="shared" si="1"/>
        <v>10500000</v>
      </c>
      <c r="F10" s="6">
        <f t="shared" si="2"/>
        <v>999428.89777270122</v>
      </c>
      <c r="G10" s="7">
        <f t="shared" si="3"/>
        <v>10.506</v>
      </c>
      <c r="H10" s="8">
        <f t="shared" si="4"/>
        <v>3.0000000000000093E-2</v>
      </c>
      <c r="L10" s="2">
        <v>300000</v>
      </c>
      <c r="O10" s="8">
        <f t="shared" si="5"/>
        <v>1.03</v>
      </c>
    </row>
    <row r="11" spans="1:16">
      <c r="A11" s="5">
        <f t="shared" si="0"/>
        <v>41285</v>
      </c>
      <c r="B11" s="6">
        <v>300000</v>
      </c>
      <c r="C11" s="6">
        <v>200000</v>
      </c>
      <c r="D11" s="6">
        <v>0</v>
      </c>
      <c r="E11" s="6">
        <f t="shared" si="1"/>
        <v>10400000</v>
      </c>
      <c r="F11" s="6">
        <f t="shared" si="2"/>
        <v>1009132.0909549604</v>
      </c>
      <c r="G11" s="7">
        <f t="shared" si="3"/>
        <v>10.305885714285715</v>
      </c>
      <c r="H11" s="8">
        <f t="shared" si="4"/>
        <v>-1.9047619047619004E-2</v>
      </c>
      <c r="L11" s="2">
        <v>-200000</v>
      </c>
      <c r="O11" s="8">
        <f t="shared" si="5"/>
        <v>0.98095238095238102</v>
      </c>
    </row>
    <row r="12" spans="1:16" ht="18">
      <c r="O12" s="2">
        <f>PRODUCT(O5:O11)</f>
        <v>1.0512003428571433</v>
      </c>
      <c r="P12" s="3" t="s">
        <v>24</v>
      </c>
    </row>
    <row r="13" spans="1:16" ht="18">
      <c r="O13" s="2">
        <f>O12^(1/9)</f>
        <v>1.0055634962943851</v>
      </c>
      <c r="P13" s="3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A2" sqref="A2"/>
    </sheetView>
  </sheetViews>
  <sheetFormatPr defaultRowHeight="12.75"/>
  <cols>
    <col min="1" max="1" width="5.42578125" style="24" customWidth="1"/>
    <col min="2" max="2" width="6" style="24" customWidth="1"/>
    <col min="3" max="3" width="9.140625" style="24"/>
    <col min="4" max="4" width="18.7109375" style="24" bestFit="1" customWidth="1"/>
    <col min="5" max="5" width="12" style="24" bestFit="1" customWidth="1"/>
    <col min="6" max="6" width="14.5703125" style="24" bestFit="1" customWidth="1"/>
    <col min="7" max="7" width="12" style="24" bestFit="1" customWidth="1"/>
    <col min="8" max="8" width="9.140625" style="24"/>
    <col min="9" max="9" width="13.42578125" style="24" bestFit="1" customWidth="1"/>
    <col min="10" max="256" width="9.140625" style="24"/>
    <col min="257" max="257" width="5.42578125" style="24" customWidth="1"/>
    <col min="258" max="258" width="6" style="24" customWidth="1"/>
    <col min="259" max="259" width="9.140625" style="24"/>
    <col min="260" max="260" width="18.7109375" style="24" bestFit="1" customWidth="1"/>
    <col min="261" max="261" width="12" style="24" bestFit="1" customWidth="1"/>
    <col min="262" max="262" width="14.5703125" style="24" bestFit="1" customWidth="1"/>
    <col min="263" max="263" width="12" style="24" bestFit="1" customWidth="1"/>
    <col min="264" max="264" width="9.140625" style="24"/>
    <col min="265" max="265" width="13.42578125" style="24" bestFit="1" customWidth="1"/>
    <col min="266" max="512" width="9.140625" style="24"/>
    <col min="513" max="513" width="5.42578125" style="24" customWidth="1"/>
    <col min="514" max="514" width="6" style="24" customWidth="1"/>
    <col min="515" max="515" width="9.140625" style="24"/>
    <col min="516" max="516" width="18.7109375" style="24" bestFit="1" customWidth="1"/>
    <col min="517" max="517" width="12" style="24" bestFit="1" customWidth="1"/>
    <col min="518" max="518" width="14.5703125" style="24" bestFit="1" customWidth="1"/>
    <col min="519" max="519" width="12" style="24" bestFit="1" customWidth="1"/>
    <col min="520" max="520" width="9.140625" style="24"/>
    <col min="521" max="521" width="13.42578125" style="24" bestFit="1" customWidth="1"/>
    <col min="522" max="768" width="9.140625" style="24"/>
    <col min="769" max="769" width="5.42578125" style="24" customWidth="1"/>
    <col min="770" max="770" width="6" style="24" customWidth="1"/>
    <col min="771" max="771" width="9.140625" style="24"/>
    <col min="772" max="772" width="18.7109375" style="24" bestFit="1" customWidth="1"/>
    <col min="773" max="773" width="12" style="24" bestFit="1" customWidth="1"/>
    <col min="774" max="774" width="14.5703125" style="24" bestFit="1" customWidth="1"/>
    <col min="775" max="775" width="12" style="24" bestFit="1" customWidth="1"/>
    <col min="776" max="776" width="9.140625" style="24"/>
    <col min="777" max="777" width="13.42578125" style="24" bestFit="1" customWidth="1"/>
    <col min="778" max="1024" width="9.140625" style="24"/>
    <col min="1025" max="1025" width="5.42578125" style="24" customWidth="1"/>
    <col min="1026" max="1026" width="6" style="24" customWidth="1"/>
    <col min="1027" max="1027" width="9.140625" style="24"/>
    <col min="1028" max="1028" width="18.7109375" style="24" bestFit="1" customWidth="1"/>
    <col min="1029" max="1029" width="12" style="24" bestFit="1" customWidth="1"/>
    <col min="1030" max="1030" width="14.5703125" style="24" bestFit="1" customWidth="1"/>
    <col min="1031" max="1031" width="12" style="24" bestFit="1" customWidth="1"/>
    <col min="1032" max="1032" width="9.140625" style="24"/>
    <col min="1033" max="1033" width="13.42578125" style="24" bestFit="1" customWidth="1"/>
    <col min="1034" max="1280" width="9.140625" style="24"/>
    <col min="1281" max="1281" width="5.42578125" style="24" customWidth="1"/>
    <col min="1282" max="1282" width="6" style="24" customWidth="1"/>
    <col min="1283" max="1283" width="9.140625" style="24"/>
    <col min="1284" max="1284" width="18.7109375" style="24" bestFit="1" customWidth="1"/>
    <col min="1285" max="1285" width="12" style="24" bestFit="1" customWidth="1"/>
    <col min="1286" max="1286" width="14.5703125" style="24" bestFit="1" customWidth="1"/>
    <col min="1287" max="1287" width="12" style="24" bestFit="1" customWidth="1"/>
    <col min="1288" max="1288" width="9.140625" style="24"/>
    <col min="1289" max="1289" width="13.42578125" style="24" bestFit="1" customWidth="1"/>
    <col min="1290" max="1536" width="9.140625" style="24"/>
    <col min="1537" max="1537" width="5.42578125" style="24" customWidth="1"/>
    <col min="1538" max="1538" width="6" style="24" customWidth="1"/>
    <col min="1539" max="1539" width="9.140625" style="24"/>
    <col min="1540" max="1540" width="18.7109375" style="24" bestFit="1" customWidth="1"/>
    <col min="1541" max="1541" width="12" style="24" bestFit="1" customWidth="1"/>
    <col min="1542" max="1542" width="14.5703125" style="24" bestFit="1" customWidth="1"/>
    <col min="1543" max="1543" width="12" style="24" bestFit="1" customWidth="1"/>
    <col min="1544" max="1544" width="9.140625" style="24"/>
    <col min="1545" max="1545" width="13.42578125" style="24" bestFit="1" customWidth="1"/>
    <col min="1546" max="1792" width="9.140625" style="24"/>
    <col min="1793" max="1793" width="5.42578125" style="24" customWidth="1"/>
    <col min="1794" max="1794" width="6" style="24" customWidth="1"/>
    <col min="1795" max="1795" width="9.140625" style="24"/>
    <col min="1796" max="1796" width="18.7109375" style="24" bestFit="1" customWidth="1"/>
    <col min="1797" max="1797" width="12" style="24" bestFit="1" customWidth="1"/>
    <col min="1798" max="1798" width="14.5703125" style="24" bestFit="1" customWidth="1"/>
    <col min="1799" max="1799" width="12" style="24" bestFit="1" customWidth="1"/>
    <col min="1800" max="1800" width="9.140625" style="24"/>
    <col min="1801" max="1801" width="13.42578125" style="24" bestFit="1" customWidth="1"/>
    <col min="1802" max="2048" width="9.140625" style="24"/>
    <col min="2049" max="2049" width="5.42578125" style="24" customWidth="1"/>
    <col min="2050" max="2050" width="6" style="24" customWidth="1"/>
    <col min="2051" max="2051" width="9.140625" style="24"/>
    <col min="2052" max="2052" width="18.7109375" style="24" bestFit="1" customWidth="1"/>
    <col min="2053" max="2053" width="12" style="24" bestFit="1" customWidth="1"/>
    <col min="2054" max="2054" width="14.5703125" style="24" bestFit="1" customWidth="1"/>
    <col min="2055" max="2055" width="12" style="24" bestFit="1" customWidth="1"/>
    <col min="2056" max="2056" width="9.140625" style="24"/>
    <col min="2057" max="2057" width="13.42578125" style="24" bestFit="1" customWidth="1"/>
    <col min="2058" max="2304" width="9.140625" style="24"/>
    <col min="2305" max="2305" width="5.42578125" style="24" customWidth="1"/>
    <col min="2306" max="2306" width="6" style="24" customWidth="1"/>
    <col min="2307" max="2307" width="9.140625" style="24"/>
    <col min="2308" max="2308" width="18.7109375" style="24" bestFit="1" customWidth="1"/>
    <col min="2309" max="2309" width="12" style="24" bestFit="1" customWidth="1"/>
    <col min="2310" max="2310" width="14.5703125" style="24" bestFit="1" customWidth="1"/>
    <col min="2311" max="2311" width="12" style="24" bestFit="1" customWidth="1"/>
    <col min="2312" max="2312" width="9.140625" style="24"/>
    <col min="2313" max="2313" width="13.42578125" style="24" bestFit="1" customWidth="1"/>
    <col min="2314" max="2560" width="9.140625" style="24"/>
    <col min="2561" max="2561" width="5.42578125" style="24" customWidth="1"/>
    <col min="2562" max="2562" width="6" style="24" customWidth="1"/>
    <col min="2563" max="2563" width="9.140625" style="24"/>
    <col min="2564" max="2564" width="18.7109375" style="24" bestFit="1" customWidth="1"/>
    <col min="2565" max="2565" width="12" style="24" bestFit="1" customWidth="1"/>
    <col min="2566" max="2566" width="14.5703125" style="24" bestFit="1" customWidth="1"/>
    <col min="2567" max="2567" width="12" style="24" bestFit="1" customWidth="1"/>
    <col min="2568" max="2568" width="9.140625" style="24"/>
    <col min="2569" max="2569" width="13.42578125" style="24" bestFit="1" customWidth="1"/>
    <col min="2570" max="2816" width="9.140625" style="24"/>
    <col min="2817" max="2817" width="5.42578125" style="24" customWidth="1"/>
    <col min="2818" max="2818" width="6" style="24" customWidth="1"/>
    <col min="2819" max="2819" width="9.140625" style="24"/>
    <col min="2820" max="2820" width="18.7109375" style="24" bestFit="1" customWidth="1"/>
    <col min="2821" max="2821" width="12" style="24" bestFit="1" customWidth="1"/>
    <col min="2822" max="2822" width="14.5703125" style="24" bestFit="1" customWidth="1"/>
    <col min="2823" max="2823" width="12" style="24" bestFit="1" customWidth="1"/>
    <col min="2824" max="2824" width="9.140625" style="24"/>
    <col min="2825" max="2825" width="13.42578125" style="24" bestFit="1" customWidth="1"/>
    <col min="2826" max="3072" width="9.140625" style="24"/>
    <col min="3073" max="3073" width="5.42578125" style="24" customWidth="1"/>
    <col min="3074" max="3074" width="6" style="24" customWidth="1"/>
    <col min="3075" max="3075" width="9.140625" style="24"/>
    <col min="3076" max="3076" width="18.7109375" style="24" bestFit="1" customWidth="1"/>
    <col min="3077" max="3077" width="12" style="24" bestFit="1" customWidth="1"/>
    <col min="3078" max="3078" width="14.5703125" style="24" bestFit="1" customWidth="1"/>
    <col min="3079" max="3079" width="12" style="24" bestFit="1" customWidth="1"/>
    <col min="3080" max="3080" width="9.140625" style="24"/>
    <col min="3081" max="3081" width="13.42578125" style="24" bestFit="1" customWidth="1"/>
    <col min="3082" max="3328" width="9.140625" style="24"/>
    <col min="3329" max="3329" width="5.42578125" style="24" customWidth="1"/>
    <col min="3330" max="3330" width="6" style="24" customWidth="1"/>
    <col min="3331" max="3331" width="9.140625" style="24"/>
    <col min="3332" max="3332" width="18.7109375" style="24" bestFit="1" customWidth="1"/>
    <col min="3333" max="3333" width="12" style="24" bestFit="1" customWidth="1"/>
    <col min="3334" max="3334" width="14.5703125" style="24" bestFit="1" customWidth="1"/>
    <col min="3335" max="3335" width="12" style="24" bestFit="1" customWidth="1"/>
    <col min="3336" max="3336" width="9.140625" style="24"/>
    <col min="3337" max="3337" width="13.42578125" style="24" bestFit="1" customWidth="1"/>
    <col min="3338" max="3584" width="9.140625" style="24"/>
    <col min="3585" max="3585" width="5.42578125" style="24" customWidth="1"/>
    <col min="3586" max="3586" width="6" style="24" customWidth="1"/>
    <col min="3587" max="3587" width="9.140625" style="24"/>
    <col min="3588" max="3588" width="18.7109375" style="24" bestFit="1" customWidth="1"/>
    <col min="3589" max="3589" width="12" style="24" bestFit="1" customWidth="1"/>
    <col min="3590" max="3590" width="14.5703125" style="24" bestFit="1" customWidth="1"/>
    <col min="3591" max="3591" width="12" style="24" bestFit="1" customWidth="1"/>
    <col min="3592" max="3592" width="9.140625" style="24"/>
    <col min="3593" max="3593" width="13.42578125" style="24" bestFit="1" customWidth="1"/>
    <col min="3594" max="3840" width="9.140625" style="24"/>
    <col min="3841" max="3841" width="5.42578125" style="24" customWidth="1"/>
    <col min="3842" max="3842" width="6" style="24" customWidth="1"/>
    <col min="3843" max="3843" width="9.140625" style="24"/>
    <col min="3844" max="3844" width="18.7109375" style="24" bestFit="1" customWidth="1"/>
    <col min="3845" max="3845" width="12" style="24" bestFit="1" customWidth="1"/>
    <col min="3846" max="3846" width="14.5703125" style="24" bestFit="1" customWidth="1"/>
    <col min="3847" max="3847" width="12" style="24" bestFit="1" customWidth="1"/>
    <col min="3848" max="3848" width="9.140625" style="24"/>
    <col min="3849" max="3849" width="13.42578125" style="24" bestFit="1" customWidth="1"/>
    <col min="3850" max="4096" width="9.140625" style="24"/>
    <col min="4097" max="4097" width="5.42578125" style="24" customWidth="1"/>
    <col min="4098" max="4098" width="6" style="24" customWidth="1"/>
    <col min="4099" max="4099" width="9.140625" style="24"/>
    <col min="4100" max="4100" width="18.7109375" style="24" bestFit="1" customWidth="1"/>
    <col min="4101" max="4101" width="12" style="24" bestFit="1" customWidth="1"/>
    <col min="4102" max="4102" width="14.5703125" style="24" bestFit="1" customWidth="1"/>
    <col min="4103" max="4103" width="12" style="24" bestFit="1" customWidth="1"/>
    <col min="4104" max="4104" width="9.140625" style="24"/>
    <col min="4105" max="4105" width="13.42578125" style="24" bestFit="1" customWidth="1"/>
    <col min="4106" max="4352" width="9.140625" style="24"/>
    <col min="4353" max="4353" width="5.42578125" style="24" customWidth="1"/>
    <col min="4354" max="4354" width="6" style="24" customWidth="1"/>
    <col min="4355" max="4355" width="9.140625" style="24"/>
    <col min="4356" max="4356" width="18.7109375" style="24" bestFit="1" customWidth="1"/>
    <col min="4357" max="4357" width="12" style="24" bestFit="1" customWidth="1"/>
    <col min="4358" max="4358" width="14.5703125" style="24" bestFit="1" customWidth="1"/>
    <col min="4359" max="4359" width="12" style="24" bestFit="1" customWidth="1"/>
    <col min="4360" max="4360" width="9.140625" style="24"/>
    <col min="4361" max="4361" width="13.42578125" style="24" bestFit="1" customWidth="1"/>
    <col min="4362" max="4608" width="9.140625" style="24"/>
    <col min="4609" max="4609" width="5.42578125" style="24" customWidth="1"/>
    <col min="4610" max="4610" width="6" style="24" customWidth="1"/>
    <col min="4611" max="4611" width="9.140625" style="24"/>
    <col min="4612" max="4612" width="18.7109375" style="24" bestFit="1" customWidth="1"/>
    <col min="4613" max="4613" width="12" style="24" bestFit="1" customWidth="1"/>
    <col min="4614" max="4614" width="14.5703125" style="24" bestFit="1" customWidth="1"/>
    <col min="4615" max="4615" width="12" style="24" bestFit="1" customWidth="1"/>
    <col min="4616" max="4616" width="9.140625" style="24"/>
    <col min="4617" max="4617" width="13.42578125" style="24" bestFit="1" customWidth="1"/>
    <col min="4618" max="4864" width="9.140625" style="24"/>
    <col min="4865" max="4865" width="5.42578125" style="24" customWidth="1"/>
    <col min="4866" max="4866" width="6" style="24" customWidth="1"/>
    <col min="4867" max="4867" width="9.140625" style="24"/>
    <col min="4868" max="4868" width="18.7109375" style="24" bestFit="1" customWidth="1"/>
    <col min="4869" max="4869" width="12" style="24" bestFit="1" customWidth="1"/>
    <col min="4870" max="4870" width="14.5703125" style="24" bestFit="1" customWidth="1"/>
    <col min="4871" max="4871" width="12" style="24" bestFit="1" customWidth="1"/>
    <col min="4872" max="4872" width="9.140625" style="24"/>
    <col min="4873" max="4873" width="13.42578125" style="24" bestFit="1" customWidth="1"/>
    <col min="4874" max="5120" width="9.140625" style="24"/>
    <col min="5121" max="5121" width="5.42578125" style="24" customWidth="1"/>
    <col min="5122" max="5122" width="6" style="24" customWidth="1"/>
    <col min="5123" max="5123" width="9.140625" style="24"/>
    <col min="5124" max="5124" width="18.7109375" style="24" bestFit="1" customWidth="1"/>
    <col min="5125" max="5125" width="12" style="24" bestFit="1" customWidth="1"/>
    <col min="5126" max="5126" width="14.5703125" style="24" bestFit="1" customWidth="1"/>
    <col min="5127" max="5127" width="12" style="24" bestFit="1" customWidth="1"/>
    <col min="5128" max="5128" width="9.140625" style="24"/>
    <col min="5129" max="5129" width="13.42578125" style="24" bestFit="1" customWidth="1"/>
    <col min="5130" max="5376" width="9.140625" style="24"/>
    <col min="5377" max="5377" width="5.42578125" style="24" customWidth="1"/>
    <col min="5378" max="5378" width="6" style="24" customWidth="1"/>
    <col min="5379" max="5379" width="9.140625" style="24"/>
    <col min="5380" max="5380" width="18.7109375" style="24" bestFit="1" customWidth="1"/>
    <col min="5381" max="5381" width="12" style="24" bestFit="1" customWidth="1"/>
    <col min="5382" max="5382" width="14.5703125" style="24" bestFit="1" customWidth="1"/>
    <col min="5383" max="5383" width="12" style="24" bestFit="1" customWidth="1"/>
    <col min="5384" max="5384" width="9.140625" style="24"/>
    <col min="5385" max="5385" width="13.42578125" style="24" bestFit="1" customWidth="1"/>
    <col min="5386" max="5632" width="9.140625" style="24"/>
    <col min="5633" max="5633" width="5.42578125" style="24" customWidth="1"/>
    <col min="5634" max="5634" width="6" style="24" customWidth="1"/>
    <col min="5635" max="5635" width="9.140625" style="24"/>
    <col min="5636" max="5636" width="18.7109375" style="24" bestFit="1" customWidth="1"/>
    <col min="5637" max="5637" width="12" style="24" bestFit="1" customWidth="1"/>
    <col min="5638" max="5638" width="14.5703125" style="24" bestFit="1" customWidth="1"/>
    <col min="5639" max="5639" width="12" style="24" bestFit="1" customWidth="1"/>
    <col min="5640" max="5640" width="9.140625" style="24"/>
    <col min="5641" max="5641" width="13.42578125" style="24" bestFit="1" customWidth="1"/>
    <col min="5642" max="5888" width="9.140625" style="24"/>
    <col min="5889" max="5889" width="5.42578125" style="24" customWidth="1"/>
    <col min="5890" max="5890" width="6" style="24" customWidth="1"/>
    <col min="5891" max="5891" width="9.140625" style="24"/>
    <col min="5892" max="5892" width="18.7109375" style="24" bestFit="1" customWidth="1"/>
    <col min="5893" max="5893" width="12" style="24" bestFit="1" customWidth="1"/>
    <col min="5894" max="5894" width="14.5703125" style="24" bestFit="1" customWidth="1"/>
    <col min="5895" max="5895" width="12" style="24" bestFit="1" customWidth="1"/>
    <col min="5896" max="5896" width="9.140625" style="24"/>
    <col min="5897" max="5897" width="13.42578125" style="24" bestFit="1" customWidth="1"/>
    <col min="5898" max="6144" width="9.140625" style="24"/>
    <col min="6145" max="6145" width="5.42578125" style="24" customWidth="1"/>
    <col min="6146" max="6146" width="6" style="24" customWidth="1"/>
    <col min="6147" max="6147" width="9.140625" style="24"/>
    <col min="6148" max="6148" width="18.7109375" style="24" bestFit="1" customWidth="1"/>
    <col min="6149" max="6149" width="12" style="24" bestFit="1" customWidth="1"/>
    <col min="6150" max="6150" width="14.5703125" style="24" bestFit="1" customWidth="1"/>
    <col min="6151" max="6151" width="12" style="24" bestFit="1" customWidth="1"/>
    <col min="6152" max="6152" width="9.140625" style="24"/>
    <col min="6153" max="6153" width="13.42578125" style="24" bestFit="1" customWidth="1"/>
    <col min="6154" max="6400" width="9.140625" style="24"/>
    <col min="6401" max="6401" width="5.42578125" style="24" customWidth="1"/>
    <col min="6402" max="6402" width="6" style="24" customWidth="1"/>
    <col min="6403" max="6403" width="9.140625" style="24"/>
    <col min="6404" max="6404" width="18.7109375" style="24" bestFit="1" customWidth="1"/>
    <col min="6405" max="6405" width="12" style="24" bestFit="1" customWidth="1"/>
    <col min="6406" max="6406" width="14.5703125" style="24" bestFit="1" customWidth="1"/>
    <col min="6407" max="6407" width="12" style="24" bestFit="1" customWidth="1"/>
    <col min="6408" max="6408" width="9.140625" style="24"/>
    <col min="6409" max="6409" width="13.42578125" style="24" bestFit="1" customWidth="1"/>
    <col min="6410" max="6656" width="9.140625" style="24"/>
    <col min="6657" max="6657" width="5.42578125" style="24" customWidth="1"/>
    <col min="6658" max="6658" width="6" style="24" customWidth="1"/>
    <col min="6659" max="6659" width="9.140625" style="24"/>
    <col min="6660" max="6660" width="18.7109375" style="24" bestFit="1" customWidth="1"/>
    <col min="6661" max="6661" width="12" style="24" bestFit="1" customWidth="1"/>
    <col min="6662" max="6662" width="14.5703125" style="24" bestFit="1" customWidth="1"/>
    <col min="6663" max="6663" width="12" style="24" bestFit="1" customWidth="1"/>
    <col min="6664" max="6664" width="9.140625" style="24"/>
    <col min="6665" max="6665" width="13.42578125" style="24" bestFit="1" customWidth="1"/>
    <col min="6666" max="6912" width="9.140625" style="24"/>
    <col min="6913" max="6913" width="5.42578125" style="24" customWidth="1"/>
    <col min="6914" max="6914" width="6" style="24" customWidth="1"/>
    <col min="6915" max="6915" width="9.140625" style="24"/>
    <col min="6916" max="6916" width="18.7109375" style="24" bestFit="1" customWidth="1"/>
    <col min="6917" max="6917" width="12" style="24" bestFit="1" customWidth="1"/>
    <col min="6918" max="6918" width="14.5703125" style="24" bestFit="1" customWidth="1"/>
    <col min="6919" max="6919" width="12" style="24" bestFit="1" customWidth="1"/>
    <col min="6920" max="6920" width="9.140625" style="24"/>
    <col min="6921" max="6921" width="13.42578125" style="24" bestFit="1" customWidth="1"/>
    <col min="6922" max="7168" width="9.140625" style="24"/>
    <col min="7169" max="7169" width="5.42578125" style="24" customWidth="1"/>
    <col min="7170" max="7170" width="6" style="24" customWidth="1"/>
    <col min="7171" max="7171" width="9.140625" style="24"/>
    <col min="7172" max="7172" width="18.7109375" style="24" bestFit="1" customWidth="1"/>
    <col min="7173" max="7173" width="12" style="24" bestFit="1" customWidth="1"/>
    <col min="7174" max="7174" width="14.5703125" style="24" bestFit="1" customWidth="1"/>
    <col min="7175" max="7175" width="12" style="24" bestFit="1" customWidth="1"/>
    <col min="7176" max="7176" width="9.140625" style="24"/>
    <col min="7177" max="7177" width="13.42578125" style="24" bestFit="1" customWidth="1"/>
    <col min="7178" max="7424" width="9.140625" style="24"/>
    <col min="7425" max="7425" width="5.42578125" style="24" customWidth="1"/>
    <col min="7426" max="7426" width="6" style="24" customWidth="1"/>
    <col min="7427" max="7427" width="9.140625" style="24"/>
    <col min="7428" max="7428" width="18.7109375" style="24" bestFit="1" customWidth="1"/>
    <col min="7429" max="7429" width="12" style="24" bestFit="1" customWidth="1"/>
    <col min="7430" max="7430" width="14.5703125" style="24" bestFit="1" customWidth="1"/>
    <col min="7431" max="7431" width="12" style="24" bestFit="1" customWidth="1"/>
    <col min="7432" max="7432" width="9.140625" style="24"/>
    <col min="7433" max="7433" width="13.42578125" style="24" bestFit="1" customWidth="1"/>
    <col min="7434" max="7680" width="9.140625" style="24"/>
    <col min="7681" max="7681" width="5.42578125" style="24" customWidth="1"/>
    <col min="7682" max="7682" width="6" style="24" customWidth="1"/>
    <col min="7683" max="7683" width="9.140625" style="24"/>
    <col min="7684" max="7684" width="18.7109375" style="24" bestFit="1" customWidth="1"/>
    <col min="7685" max="7685" width="12" style="24" bestFit="1" customWidth="1"/>
    <col min="7686" max="7686" width="14.5703125" style="24" bestFit="1" customWidth="1"/>
    <col min="7687" max="7687" width="12" style="24" bestFit="1" customWidth="1"/>
    <col min="7688" max="7688" width="9.140625" style="24"/>
    <col min="7689" max="7689" width="13.42578125" style="24" bestFit="1" customWidth="1"/>
    <col min="7690" max="7936" width="9.140625" style="24"/>
    <col min="7937" max="7937" width="5.42578125" style="24" customWidth="1"/>
    <col min="7938" max="7938" width="6" style="24" customWidth="1"/>
    <col min="7939" max="7939" width="9.140625" style="24"/>
    <col min="7940" max="7940" width="18.7109375" style="24" bestFit="1" customWidth="1"/>
    <col min="7941" max="7941" width="12" style="24" bestFit="1" customWidth="1"/>
    <col min="7942" max="7942" width="14.5703125" style="24" bestFit="1" customWidth="1"/>
    <col min="7943" max="7943" width="12" style="24" bestFit="1" customWidth="1"/>
    <col min="7944" max="7944" width="9.140625" style="24"/>
    <col min="7945" max="7945" width="13.42578125" style="24" bestFit="1" customWidth="1"/>
    <col min="7946" max="8192" width="9.140625" style="24"/>
    <col min="8193" max="8193" width="5.42578125" style="24" customWidth="1"/>
    <col min="8194" max="8194" width="6" style="24" customWidth="1"/>
    <col min="8195" max="8195" width="9.140625" style="24"/>
    <col min="8196" max="8196" width="18.7109375" style="24" bestFit="1" customWidth="1"/>
    <col min="8197" max="8197" width="12" style="24" bestFit="1" customWidth="1"/>
    <col min="8198" max="8198" width="14.5703125" style="24" bestFit="1" customWidth="1"/>
    <col min="8199" max="8199" width="12" style="24" bestFit="1" customWidth="1"/>
    <col min="8200" max="8200" width="9.140625" style="24"/>
    <col min="8201" max="8201" width="13.42578125" style="24" bestFit="1" customWidth="1"/>
    <col min="8202" max="8448" width="9.140625" style="24"/>
    <col min="8449" max="8449" width="5.42578125" style="24" customWidth="1"/>
    <col min="8450" max="8450" width="6" style="24" customWidth="1"/>
    <col min="8451" max="8451" width="9.140625" style="24"/>
    <col min="8452" max="8452" width="18.7109375" style="24" bestFit="1" customWidth="1"/>
    <col min="8453" max="8453" width="12" style="24" bestFit="1" customWidth="1"/>
    <col min="8454" max="8454" width="14.5703125" style="24" bestFit="1" customWidth="1"/>
    <col min="8455" max="8455" width="12" style="24" bestFit="1" customWidth="1"/>
    <col min="8456" max="8456" width="9.140625" style="24"/>
    <col min="8457" max="8457" width="13.42578125" style="24" bestFit="1" customWidth="1"/>
    <col min="8458" max="8704" width="9.140625" style="24"/>
    <col min="8705" max="8705" width="5.42578125" style="24" customWidth="1"/>
    <col min="8706" max="8706" width="6" style="24" customWidth="1"/>
    <col min="8707" max="8707" width="9.140625" style="24"/>
    <col min="8708" max="8708" width="18.7109375" style="24" bestFit="1" customWidth="1"/>
    <col min="8709" max="8709" width="12" style="24" bestFit="1" customWidth="1"/>
    <col min="8710" max="8710" width="14.5703125" style="24" bestFit="1" customWidth="1"/>
    <col min="8711" max="8711" width="12" style="24" bestFit="1" customWidth="1"/>
    <col min="8712" max="8712" width="9.140625" style="24"/>
    <col min="8713" max="8713" width="13.42578125" style="24" bestFit="1" customWidth="1"/>
    <col min="8714" max="8960" width="9.140625" style="24"/>
    <col min="8961" max="8961" width="5.42578125" style="24" customWidth="1"/>
    <col min="8962" max="8962" width="6" style="24" customWidth="1"/>
    <col min="8963" max="8963" width="9.140625" style="24"/>
    <col min="8964" max="8964" width="18.7109375" style="24" bestFit="1" customWidth="1"/>
    <col min="8965" max="8965" width="12" style="24" bestFit="1" customWidth="1"/>
    <col min="8966" max="8966" width="14.5703125" style="24" bestFit="1" customWidth="1"/>
    <col min="8967" max="8967" width="12" style="24" bestFit="1" customWidth="1"/>
    <col min="8968" max="8968" width="9.140625" style="24"/>
    <col min="8969" max="8969" width="13.42578125" style="24" bestFit="1" customWidth="1"/>
    <col min="8970" max="9216" width="9.140625" style="24"/>
    <col min="9217" max="9217" width="5.42578125" style="24" customWidth="1"/>
    <col min="9218" max="9218" width="6" style="24" customWidth="1"/>
    <col min="9219" max="9219" width="9.140625" style="24"/>
    <col min="9220" max="9220" width="18.7109375" style="24" bestFit="1" customWidth="1"/>
    <col min="9221" max="9221" width="12" style="24" bestFit="1" customWidth="1"/>
    <col min="9222" max="9222" width="14.5703125" style="24" bestFit="1" customWidth="1"/>
    <col min="9223" max="9223" width="12" style="24" bestFit="1" customWidth="1"/>
    <col min="9224" max="9224" width="9.140625" style="24"/>
    <col min="9225" max="9225" width="13.42578125" style="24" bestFit="1" customWidth="1"/>
    <col min="9226" max="9472" width="9.140625" style="24"/>
    <col min="9473" max="9473" width="5.42578125" style="24" customWidth="1"/>
    <col min="9474" max="9474" width="6" style="24" customWidth="1"/>
    <col min="9475" max="9475" width="9.140625" style="24"/>
    <col min="9476" max="9476" width="18.7109375" style="24" bestFit="1" customWidth="1"/>
    <col min="9477" max="9477" width="12" style="24" bestFit="1" customWidth="1"/>
    <col min="9478" max="9478" width="14.5703125" style="24" bestFit="1" customWidth="1"/>
    <col min="9479" max="9479" width="12" style="24" bestFit="1" customWidth="1"/>
    <col min="9480" max="9480" width="9.140625" style="24"/>
    <col min="9481" max="9481" width="13.42578125" style="24" bestFit="1" customWidth="1"/>
    <col min="9482" max="9728" width="9.140625" style="24"/>
    <col min="9729" max="9729" width="5.42578125" style="24" customWidth="1"/>
    <col min="9730" max="9730" width="6" style="24" customWidth="1"/>
    <col min="9731" max="9731" width="9.140625" style="24"/>
    <col min="9732" max="9732" width="18.7109375" style="24" bestFit="1" customWidth="1"/>
    <col min="9733" max="9733" width="12" style="24" bestFit="1" customWidth="1"/>
    <col min="9734" max="9734" width="14.5703125" style="24" bestFit="1" customWidth="1"/>
    <col min="9735" max="9735" width="12" style="24" bestFit="1" customWidth="1"/>
    <col min="9736" max="9736" width="9.140625" style="24"/>
    <col min="9737" max="9737" width="13.42578125" style="24" bestFit="1" customWidth="1"/>
    <col min="9738" max="9984" width="9.140625" style="24"/>
    <col min="9985" max="9985" width="5.42578125" style="24" customWidth="1"/>
    <col min="9986" max="9986" width="6" style="24" customWidth="1"/>
    <col min="9987" max="9987" width="9.140625" style="24"/>
    <col min="9988" max="9988" width="18.7109375" style="24" bestFit="1" customWidth="1"/>
    <col min="9989" max="9989" width="12" style="24" bestFit="1" customWidth="1"/>
    <col min="9990" max="9990" width="14.5703125" style="24" bestFit="1" customWidth="1"/>
    <col min="9991" max="9991" width="12" style="24" bestFit="1" customWidth="1"/>
    <col min="9992" max="9992" width="9.140625" style="24"/>
    <col min="9993" max="9993" width="13.42578125" style="24" bestFit="1" customWidth="1"/>
    <col min="9994" max="10240" width="9.140625" style="24"/>
    <col min="10241" max="10241" width="5.42578125" style="24" customWidth="1"/>
    <col min="10242" max="10242" width="6" style="24" customWidth="1"/>
    <col min="10243" max="10243" width="9.140625" style="24"/>
    <col min="10244" max="10244" width="18.7109375" style="24" bestFit="1" customWidth="1"/>
    <col min="10245" max="10245" width="12" style="24" bestFit="1" customWidth="1"/>
    <col min="10246" max="10246" width="14.5703125" style="24" bestFit="1" customWidth="1"/>
    <col min="10247" max="10247" width="12" style="24" bestFit="1" customWidth="1"/>
    <col min="10248" max="10248" width="9.140625" style="24"/>
    <col min="10249" max="10249" width="13.42578125" style="24" bestFit="1" customWidth="1"/>
    <col min="10250" max="10496" width="9.140625" style="24"/>
    <col min="10497" max="10497" width="5.42578125" style="24" customWidth="1"/>
    <col min="10498" max="10498" width="6" style="24" customWidth="1"/>
    <col min="10499" max="10499" width="9.140625" style="24"/>
    <col min="10500" max="10500" width="18.7109375" style="24" bestFit="1" customWidth="1"/>
    <col min="10501" max="10501" width="12" style="24" bestFit="1" customWidth="1"/>
    <col min="10502" max="10502" width="14.5703125" style="24" bestFit="1" customWidth="1"/>
    <col min="10503" max="10503" width="12" style="24" bestFit="1" customWidth="1"/>
    <col min="10504" max="10504" width="9.140625" style="24"/>
    <col min="10505" max="10505" width="13.42578125" style="24" bestFit="1" customWidth="1"/>
    <col min="10506" max="10752" width="9.140625" style="24"/>
    <col min="10753" max="10753" width="5.42578125" style="24" customWidth="1"/>
    <col min="10754" max="10754" width="6" style="24" customWidth="1"/>
    <col min="10755" max="10755" width="9.140625" style="24"/>
    <col min="10756" max="10756" width="18.7109375" style="24" bestFit="1" customWidth="1"/>
    <col min="10757" max="10757" width="12" style="24" bestFit="1" customWidth="1"/>
    <col min="10758" max="10758" width="14.5703125" style="24" bestFit="1" customWidth="1"/>
    <col min="10759" max="10759" width="12" style="24" bestFit="1" customWidth="1"/>
    <col min="10760" max="10760" width="9.140625" style="24"/>
    <col min="10761" max="10761" width="13.42578125" style="24" bestFit="1" customWidth="1"/>
    <col min="10762" max="11008" width="9.140625" style="24"/>
    <col min="11009" max="11009" width="5.42578125" style="24" customWidth="1"/>
    <col min="11010" max="11010" width="6" style="24" customWidth="1"/>
    <col min="11011" max="11011" width="9.140625" style="24"/>
    <col min="11012" max="11012" width="18.7109375" style="24" bestFit="1" customWidth="1"/>
    <col min="11013" max="11013" width="12" style="24" bestFit="1" customWidth="1"/>
    <col min="11014" max="11014" width="14.5703125" style="24" bestFit="1" customWidth="1"/>
    <col min="11015" max="11015" width="12" style="24" bestFit="1" customWidth="1"/>
    <col min="11016" max="11016" width="9.140625" style="24"/>
    <col min="11017" max="11017" width="13.42578125" style="24" bestFit="1" customWidth="1"/>
    <col min="11018" max="11264" width="9.140625" style="24"/>
    <col min="11265" max="11265" width="5.42578125" style="24" customWidth="1"/>
    <col min="11266" max="11266" width="6" style="24" customWidth="1"/>
    <col min="11267" max="11267" width="9.140625" style="24"/>
    <col min="11268" max="11268" width="18.7109375" style="24" bestFit="1" customWidth="1"/>
    <col min="11269" max="11269" width="12" style="24" bestFit="1" customWidth="1"/>
    <col min="11270" max="11270" width="14.5703125" style="24" bestFit="1" customWidth="1"/>
    <col min="11271" max="11271" width="12" style="24" bestFit="1" customWidth="1"/>
    <col min="11272" max="11272" width="9.140625" style="24"/>
    <col min="11273" max="11273" width="13.42578125" style="24" bestFit="1" customWidth="1"/>
    <col min="11274" max="11520" width="9.140625" style="24"/>
    <col min="11521" max="11521" width="5.42578125" style="24" customWidth="1"/>
    <col min="11522" max="11522" width="6" style="24" customWidth="1"/>
    <col min="11523" max="11523" width="9.140625" style="24"/>
    <col min="11524" max="11524" width="18.7109375" style="24" bestFit="1" customWidth="1"/>
    <col min="11525" max="11525" width="12" style="24" bestFit="1" customWidth="1"/>
    <col min="11526" max="11526" width="14.5703125" style="24" bestFit="1" customWidth="1"/>
    <col min="11527" max="11527" width="12" style="24" bestFit="1" customWidth="1"/>
    <col min="11528" max="11528" width="9.140625" style="24"/>
    <col min="11529" max="11529" width="13.42578125" style="24" bestFit="1" customWidth="1"/>
    <col min="11530" max="11776" width="9.140625" style="24"/>
    <col min="11777" max="11777" width="5.42578125" style="24" customWidth="1"/>
    <col min="11778" max="11778" width="6" style="24" customWidth="1"/>
    <col min="11779" max="11779" width="9.140625" style="24"/>
    <col min="11780" max="11780" width="18.7109375" style="24" bestFit="1" customWidth="1"/>
    <col min="11781" max="11781" width="12" style="24" bestFit="1" customWidth="1"/>
    <col min="11782" max="11782" width="14.5703125" style="24" bestFit="1" customWidth="1"/>
    <col min="11783" max="11783" width="12" style="24" bestFit="1" customWidth="1"/>
    <col min="11784" max="11784" width="9.140625" style="24"/>
    <col min="11785" max="11785" width="13.42578125" style="24" bestFit="1" customWidth="1"/>
    <col min="11786" max="12032" width="9.140625" style="24"/>
    <col min="12033" max="12033" width="5.42578125" style="24" customWidth="1"/>
    <col min="12034" max="12034" width="6" style="24" customWidth="1"/>
    <col min="12035" max="12035" width="9.140625" style="24"/>
    <col min="12036" max="12036" width="18.7109375" style="24" bestFit="1" customWidth="1"/>
    <col min="12037" max="12037" width="12" style="24" bestFit="1" customWidth="1"/>
    <col min="12038" max="12038" width="14.5703125" style="24" bestFit="1" customWidth="1"/>
    <col min="12039" max="12039" width="12" style="24" bestFit="1" customWidth="1"/>
    <col min="12040" max="12040" width="9.140625" style="24"/>
    <col min="12041" max="12041" width="13.42578125" style="24" bestFit="1" customWidth="1"/>
    <col min="12042" max="12288" width="9.140625" style="24"/>
    <col min="12289" max="12289" width="5.42578125" style="24" customWidth="1"/>
    <col min="12290" max="12290" width="6" style="24" customWidth="1"/>
    <col min="12291" max="12291" width="9.140625" style="24"/>
    <col min="12292" max="12292" width="18.7109375" style="24" bestFit="1" customWidth="1"/>
    <col min="12293" max="12293" width="12" style="24" bestFit="1" customWidth="1"/>
    <col min="12294" max="12294" width="14.5703125" style="24" bestFit="1" customWidth="1"/>
    <col min="12295" max="12295" width="12" style="24" bestFit="1" customWidth="1"/>
    <col min="12296" max="12296" width="9.140625" style="24"/>
    <col min="12297" max="12297" width="13.42578125" style="24" bestFit="1" customWidth="1"/>
    <col min="12298" max="12544" width="9.140625" style="24"/>
    <col min="12545" max="12545" width="5.42578125" style="24" customWidth="1"/>
    <col min="12546" max="12546" width="6" style="24" customWidth="1"/>
    <col min="12547" max="12547" width="9.140625" style="24"/>
    <col min="12548" max="12548" width="18.7109375" style="24" bestFit="1" customWidth="1"/>
    <col min="12549" max="12549" width="12" style="24" bestFit="1" customWidth="1"/>
    <col min="12550" max="12550" width="14.5703125" style="24" bestFit="1" customWidth="1"/>
    <col min="12551" max="12551" width="12" style="24" bestFit="1" customWidth="1"/>
    <col min="12552" max="12552" width="9.140625" style="24"/>
    <col min="12553" max="12553" width="13.42578125" style="24" bestFit="1" customWidth="1"/>
    <col min="12554" max="12800" width="9.140625" style="24"/>
    <col min="12801" max="12801" width="5.42578125" style="24" customWidth="1"/>
    <col min="12802" max="12802" width="6" style="24" customWidth="1"/>
    <col min="12803" max="12803" width="9.140625" style="24"/>
    <col min="12804" max="12804" width="18.7109375" style="24" bestFit="1" customWidth="1"/>
    <col min="12805" max="12805" width="12" style="24" bestFit="1" customWidth="1"/>
    <col min="12806" max="12806" width="14.5703125" style="24" bestFit="1" customWidth="1"/>
    <col min="12807" max="12807" width="12" style="24" bestFit="1" customWidth="1"/>
    <col min="12808" max="12808" width="9.140625" style="24"/>
    <col min="12809" max="12809" width="13.42578125" style="24" bestFit="1" customWidth="1"/>
    <col min="12810" max="13056" width="9.140625" style="24"/>
    <col min="13057" max="13057" width="5.42578125" style="24" customWidth="1"/>
    <col min="13058" max="13058" width="6" style="24" customWidth="1"/>
    <col min="13059" max="13059" width="9.140625" style="24"/>
    <col min="13060" max="13060" width="18.7109375" style="24" bestFit="1" customWidth="1"/>
    <col min="13061" max="13061" width="12" style="24" bestFit="1" customWidth="1"/>
    <col min="13062" max="13062" width="14.5703125" style="24" bestFit="1" customWidth="1"/>
    <col min="13063" max="13063" width="12" style="24" bestFit="1" customWidth="1"/>
    <col min="13064" max="13064" width="9.140625" style="24"/>
    <col min="13065" max="13065" width="13.42578125" style="24" bestFit="1" customWidth="1"/>
    <col min="13066" max="13312" width="9.140625" style="24"/>
    <col min="13313" max="13313" width="5.42578125" style="24" customWidth="1"/>
    <col min="13314" max="13314" width="6" style="24" customWidth="1"/>
    <col min="13315" max="13315" width="9.140625" style="24"/>
    <col min="13316" max="13316" width="18.7109375" style="24" bestFit="1" customWidth="1"/>
    <col min="13317" max="13317" width="12" style="24" bestFit="1" customWidth="1"/>
    <col min="13318" max="13318" width="14.5703125" style="24" bestFit="1" customWidth="1"/>
    <col min="13319" max="13319" width="12" style="24" bestFit="1" customWidth="1"/>
    <col min="13320" max="13320" width="9.140625" style="24"/>
    <col min="13321" max="13321" width="13.42578125" style="24" bestFit="1" customWidth="1"/>
    <col min="13322" max="13568" width="9.140625" style="24"/>
    <col min="13569" max="13569" width="5.42578125" style="24" customWidth="1"/>
    <col min="13570" max="13570" width="6" style="24" customWidth="1"/>
    <col min="13571" max="13571" width="9.140625" style="24"/>
    <col min="13572" max="13572" width="18.7109375" style="24" bestFit="1" customWidth="1"/>
    <col min="13573" max="13573" width="12" style="24" bestFit="1" customWidth="1"/>
    <col min="13574" max="13574" width="14.5703125" style="24" bestFit="1" customWidth="1"/>
    <col min="13575" max="13575" width="12" style="24" bestFit="1" customWidth="1"/>
    <col min="13576" max="13576" width="9.140625" style="24"/>
    <col min="13577" max="13577" width="13.42578125" style="24" bestFit="1" customWidth="1"/>
    <col min="13578" max="13824" width="9.140625" style="24"/>
    <col min="13825" max="13825" width="5.42578125" style="24" customWidth="1"/>
    <col min="13826" max="13826" width="6" style="24" customWidth="1"/>
    <col min="13827" max="13827" width="9.140625" style="24"/>
    <col min="13828" max="13828" width="18.7109375" style="24" bestFit="1" customWidth="1"/>
    <col min="13829" max="13829" width="12" style="24" bestFit="1" customWidth="1"/>
    <col min="13830" max="13830" width="14.5703125" style="24" bestFit="1" customWidth="1"/>
    <col min="13831" max="13831" width="12" style="24" bestFit="1" customWidth="1"/>
    <col min="13832" max="13832" width="9.140625" style="24"/>
    <col min="13833" max="13833" width="13.42578125" style="24" bestFit="1" customWidth="1"/>
    <col min="13834" max="14080" width="9.140625" style="24"/>
    <col min="14081" max="14081" width="5.42578125" style="24" customWidth="1"/>
    <col min="14082" max="14082" width="6" style="24" customWidth="1"/>
    <col min="14083" max="14083" width="9.140625" style="24"/>
    <col min="14084" max="14084" width="18.7109375" style="24" bestFit="1" customWidth="1"/>
    <col min="14085" max="14085" width="12" style="24" bestFit="1" customWidth="1"/>
    <col min="14086" max="14086" width="14.5703125" style="24" bestFit="1" customWidth="1"/>
    <col min="14087" max="14087" width="12" style="24" bestFit="1" customWidth="1"/>
    <col min="14088" max="14088" width="9.140625" style="24"/>
    <col min="14089" max="14089" width="13.42578125" style="24" bestFit="1" customWidth="1"/>
    <col min="14090" max="14336" width="9.140625" style="24"/>
    <col min="14337" max="14337" width="5.42578125" style="24" customWidth="1"/>
    <col min="14338" max="14338" width="6" style="24" customWidth="1"/>
    <col min="14339" max="14339" width="9.140625" style="24"/>
    <col min="14340" max="14340" width="18.7109375" style="24" bestFit="1" customWidth="1"/>
    <col min="14341" max="14341" width="12" style="24" bestFit="1" customWidth="1"/>
    <col min="14342" max="14342" width="14.5703125" style="24" bestFit="1" customWidth="1"/>
    <col min="14343" max="14343" width="12" style="24" bestFit="1" customWidth="1"/>
    <col min="14344" max="14344" width="9.140625" style="24"/>
    <col min="14345" max="14345" width="13.42578125" style="24" bestFit="1" customWidth="1"/>
    <col min="14346" max="14592" width="9.140625" style="24"/>
    <col min="14593" max="14593" width="5.42578125" style="24" customWidth="1"/>
    <col min="14594" max="14594" width="6" style="24" customWidth="1"/>
    <col min="14595" max="14595" width="9.140625" style="24"/>
    <col min="14596" max="14596" width="18.7109375" style="24" bestFit="1" customWidth="1"/>
    <col min="14597" max="14597" width="12" style="24" bestFit="1" customWidth="1"/>
    <col min="14598" max="14598" width="14.5703125" style="24" bestFit="1" customWidth="1"/>
    <col min="14599" max="14599" width="12" style="24" bestFit="1" customWidth="1"/>
    <col min="14600" max="14600" width="9.140625" style="24"/>
    <col min="14601" max="14601" width="13.42578125" style="24" bestFit="1" customWidth="1"/>
    <col min="14602" max="14848" width="9.140625" style="24"/>
    <col min="14849" max="14849" width="5.42578125" style="24" customWidth="1"/>
    <col min="14850" max="14850" width="6" style="24" customWidth="1"/>
    <col min="14851" max="14851" width="9.140625" style="24"/>
    <col min="14852" max="14852" width="18.7109375" style="24" bestFit="1" customWidth="1"/>
    <col min="14853" max="14853" width="12" style="24" bestFit="1" customWidth="1"/>
    <col min="14854" max="14854" width="14.5703125" style="24" bestFit="1" customWidth="1"/>
    <col min="14855" max="14855" width="12" style="24" bestFit="1" customWidth="1"/>
    <col min="14856" max="14856" width="9.140625" style="24"/>
    <col min="14857" max="14857" width="13.42578125" style="24" bestFit="1" customWidth="1"/>
    <col min="14858" max="15104" width="9.140625" style="24"/>
    <col min="15105" max="15105" width="5.42578125" style="24" customWidth="1"/>
    <col min="15106" max="15106" width="6" style="24" customWidth="1"/>
    <col min="15107" max="15107" width="9.140625" style="24"/>
    <col min="15108" max="15108" width="18.7109375" style="24" bestFit="1" customWidth="1"/>
    <col min="15109" max="15109" width="12" style="24" bestFit="1" customWidth="1"/>
    <col min="15110" max="15110" width="14.5703125" style="24" bestFit="1" customWidth="1"/>
    <col min="15111" max="15111" width="12" style="24" bestFit="1" customWidth="1"/>
    <col min="15112" max="15112" width="9.140625" style="24"/>
    <col min="15113" max="15113" width="13.42578125" style="24" bestFit="1" customWidth="1"/>
    <col min="15114" max="15360" width="9.140625" style="24"/>
    <col min="15361" max="15361" width="5.42578125" style="24" customWidth="1"/>
    <col min="15362" max="15362" width="6" style="24" customWidth="1"/>
    <col min="15363" max="15363" width="9.140625" style="24"/>
    <col min="15364" max="15364" width="18.7109375" style="24" bestFit="1" customWidth="1"/>
    <col min="15365" max="15365" width="12" style="24" bestFit="1" customWidth="1"/>
    <col min="15366" max="15366" width="14.5703125" style="24" bestFit="1" customWidth="1"/>
    <col min="15367" max="15367" width="12" style="24" bestFit="1" customWidth="1"/>
    <col min="15368" max="15368" width="9.140625" style="24"/>
    <col min="15369" max="15369" width="13.42578125" style="24" bestFit="1" customWidth="1"/>
    <col min="15370" max="15616" width="9.140625" style="24"/>
    <col min="15617" max="15617" width="5.42578125" style="24" customWidth="1"/>
    <col min="15618" max="15618" width="6" style="24" customWidth="1"/>
    <col min="15619" max="15619" width="9.140625" style="24"/>
    <col min="15620" max="15620" width="18.7109375" style="24" bestFit="1" customWidth="1"/>
    <col min="15621" max="15621" width="12" style="24" bestFit="1" customWidth="1"/>
    <col min="15622" max="15622" width="14.5703125" style="24" bestFit="1" customWidth="1"/>
    <col min="15623" max="15623" width="12" style="24" bestFit="1" customWidth="1"/>
    <col min="15624" max="15624" width="9.140625" style="24"/>
    <col min="15625" max="15625" width="13.42578125" style="24" bestFit="1" customWidth="1"/>
    <col min="15626" max="15872" width="9.140625" style="24"/>
    <col min="15873" max="15873" width="5.42578125" style="24" customWidth="1"/>
    <col min="15874" max="15874" width="6" style="24" customWidth="1"/>
    <col min="15875" max="15875" width="9.140625" style="24"/>
    <col min="15876" max="15876" width="18.7109375" style="24" bestFit="1" customWidth="1"/>
    <col min="15877" max="15877" width="12" style="24" bestFit="1" customWidth="1"/>
    <col min="15878" max="15878" width="14.5703125" style="24" bestFit="1" customWidth="1"/>
    <col min="15879" max="15879" width="12" style="24" bestFit="1" customWidth="1"/>
    <col min="15880" max="15880" width="9.140625" style="24"/>
    <col min="15881" max="15881" width="13.42578125" style="24" bestFit="1" customWidth="1"/>
    <col min="15882" max="16128" width="9.140625" style="24"/>
    <col min="16129" max="16129" width="5.42578125" style="24" customWidth="1"/>
    <col min="16130" max="16130" width="6" style="24" customWidth="1"/>
    <col min="16131" max="16131" width="9.140625" style="24"/>
    <col min="16132" max="16132" width="18.7109375" style="24" bestFit="1" customWidth="1"/>
    <col min="16133" max="16133" width="12" style="24" bestFit="1" customWidth="1"/>
    <col min="16134" max="16134" width="14.5703125" style="24" bestFit="1" customWidth="1"/>
    <col min="16135" max="16135" width="12" style="24" bestFit="1" customWidth="1"/>
    <col min="16136" max="16136" width="9.140625" style="24"/>
    <col min="16137" max="16137" width="13.42578125" style="24" bestFit="1" customWidth="1"/>
    <col min="16138" max="16384" width="9.140625" style="24"/>
  </cols>
  <sheetData>
    <row r="1" spans="1:9" ht="18.75">
      <c r="A1" s="23" t="s">
        <v>63</v>
      </c>
    </row>
    <row r="4" spans="1:9" ht="15">
      <c r="A4" s="25" t="s">
        <v>64</v>
      </c>
      <c r="B4" s="25" t="s">
        <v>65</v>
      </c>
    </row>
    <row r="5" spans="1:9">
      <c r="A5" s="24">
        <v>0.11</v>
      </c>
      <c r="B5" s="24">
        <v>0.02</v>
      </c>
      <c r="D5" s="24" t="s">
        <v>66</v>
      </c>
    </row>
    <row r="6" spans="1:9" ht="13.5" thickBot="1">
      <c r="A6" s="24">
        <v>0.09</v>
      </c>
      <c r="B6" s="24">
        <v>0.01</v>
      </c>
    </row>
    <row r="7" spans="1:9" ht="15">
      <c r="A7" s="24">
        <v>0.02</v>
      </c>
      <c r="B7" s="24">
        <v>0.03</v>
      </c>
      <c r="D7" s="26" t="s">
        <v>67</v>
      </c>
      <c r="E7" s="26"/>
    </row>
    <row r="8" spans="1:9">
      <c r="A8" s="24">
        <v>0.13</v>
      </c>
      <c r="B8" s="24">
        <v>0.08</v>
      </c>
      <c r="D8" s="27" t="s">
        <v>68</v>
      </c>
      <c r="E8" s="27">
        <v>0.93012228633231231</v>
      </c>
    </row>
    <row r="9" spans="1:9">
      <c r="A9" s="24">
        <v>0.01</v>
      </c>
      <c r="B9" s="24">
        <v>-0.14000000000000001</v>
      </c>
      <c r="D9" s="27" t="s">
        <v>69</v>
      </c>
      <c r="E9" s="27">
        <v>0.86512746753204806</v>
      </c>
    </row>
    <row r="10" spans="1:9">
      <c r="A10" s="24">
        <v>0.11</v>
      </c>
      <c r="B10" s="24">
        <v>0.06</v>
      </c>
      <c r="D10" s="27" t="s">
        <v>70</v>
      </c>
      <c r="E10" s="27">
        <v>0.8576345490616063</v>
      </c>
    </row>
    <row r="11" spans="1:9">
      <c r="A11" s="24">
        <v>0.22</v>
      </c>
      <c r="B11" s="24">
        <v>0.09</v>
      </c>
      <c r="D11" s="27" t="s">
        <v>71</v>
      </c>
      <c r="E11" s="27">
        <v>3.8425473961851184E-2</v>
      </c>
    </row>
    <row r="12" spans="1:9" ht="13.5" thickBot="1">
      <c r="A12" s="24">
        <v>0.21</v>
      </c>
      <c r="B12" s="24">
        <v>0.13</v>
      </c>
      <c r="D12" s="28" t="s">
        <v>72</v>
      </c>
      <c r="E12" s="28">
        <v>20</v>
      </c>
    </row>
    <row r="13" spans="1:9">
      <c r="A13" s="24">
        <v>0.08</v>
      </c>
      <c r="B13" s="24">
        <v>-0.01</v>
      </c>
    </row>
    <row r="14" spans="1:9" ht="13.5" thickBot="1">
      <c r="A14" s="24">
        <f>-0.12</f>
        <v>-0.12</v>
      </c>
      <c r="B14" s="24">
        <v>-0.15</v>
      </c>
      <c r="D14" s="24" t="s">
        <v>73</v>
      </c>
    </row>
    <row r="15" spans="1:9" ht="15">
      <c r="A15" s="24">
        <v>0.06</v>
      </c>
      <c r="B15" s="24">
        <v>0.02</v>
      </c>
      <c r="D15" s="29"/>
      <c r="E15" s="29" t="s">
        <v>74</v>
      </c>
      <c r="F15" s="29" t="s">
        <v>75</v>
      </c>
      <c r="G15" s="29" t="s">
        <v>76</v>
      </c>
      <c r="H15" s="29" t="s">
        <v>77</v>
      </c>
      <c r="I15" s="29" t="s">
        <v>78</v>
      </c>
    </row>
    <row r="16" spans="1:9">
      <c r="A16" s="24">
        <v>0.16</v>
      </c>
      <c r="B16" s="24">
        <v>0.11</v>
      </c>
      <c r="D16" s="27" t="s">
        <v>79</v>
      </c>
      <c r="E16" s="27">
        <v>1</v>
      </c>
      <c r="F16" s="27">
        <v>0.17047769311452773</v>
      </c>
      <c r="G16" s="27">
        <v>0.17047769311452773</v>
      </c>
      <c r="H16" s="27">
        <v>115.45934617396702</v>
      </c>
      <c r="I16" s="27">
        <v>2.9222562128841051E-9</v>
      </c>
    </row>
    <row r="17" spans="1:12">
      <c r="A17" s="24">
        <v>0.15</v>
      </c>
      <c r="B17" s="24">
        <v>0.09</v>
      </c>
      <c r="D17" s="27" t="s">
        <v>80</v>
      </c>
      <c r="E17" s="27">
        <v>18</v>
      </c>
      <c r="F17" s="27">
        <v>2.6577306885472263E-2</v>
      </c>
      <c r="G17" s="27">
        <v>1.4765170491929035E-3</v>
      </c>
      <c r="H17" s="27"/>
      <c r="I17" s="27"/>
    </row>
    <row r="18" spans="1:12" ht="13.5" thickBot="1">
      <c r="A18" s="24">
        <f>-0.07</f>
        <v>-7.0000000000000007E-2</v>
      </c>
      <c r="B18" s="24">
        <v>-0.11</v>
      </c>
      <c r="D18" s="28" t="s">
        <v>61</v>
      </c>
      <c r="E18" s="28">
        <v>19</v>
      </c>
      <c r="F18" s="28">
        <v>0.19705500000000001</v>
      </c>
      <c r="G18" s="28"/>
      <c r="H18" s="28"/>
      <c r="I18" s="28"/>
    </row>
    <row r="19" spans="1:12" ht="13.5" thickBot="1">
      <c r="A19" s="24">
        <f>-0.01</f>
        <v>-0.01</v>
      </c>
      <c r="B19" s="24">
        <v>-0.13</v>
      </c>
    </row>
    <row r="20" spans="1:12" ht="15">
      <c r="A20" s="24">
        <v>0.22</v>
      </c>
      <c r="B20" s="24">
        <v>0.15</v>
      </c>
      <c r="D20" s="29"/>
      <c r="E20" s="29" t="s">
        <v>81</v>
      </c>
      <c r="F20" s="29" t="s">
        <v>71</v>
      </c>
      <c r="G20" s="29" t="s">
        <v>82</v>
      </c>
      <c r="H20" s="29" t="s">
        <v>83</v>
      </c>
      <c r="I20" s="29" t="s">
        <v>84</v>
      </c>
      <c r="J20" s="29" t="s">
        <v>85</v>
      </c>
      <c r="K20" s="29" t="s">
        <v>86</v>
      </c>
      <c r="L20" s="29" t="s">
        <v>87</v>
      </c>
    </row>
    <row r="21" spans="1:12">
      <c r="A21" s="24">
        <v>0.15</v>
      </c>
      <c r="B21" s="24">
        <v>0.04</v>
      </c>
      <c r="D21" s="27" t="s">
        <v>88</v>
      </c>
      <c r="E21" s="27">
        <v>7.3509121325579518E-2</v>
      </c>
      <c r="F21" s="27">
        <v>8.6423595674153322E-3</v>
      </c>
      <c r="G21" s="27">
        <v>8.5056772692881459</v>
      </c>
      <c r="H21" s="27">
        <v>1.0127691497194531E-7</v>
      </c>
      <c r="I21" s="27">
        <v>5.5352197659918591E-2</v>
      </c>
      <c r="J21" s="27">
        <v>9.1666044991240453E-2</v>
      </c>
      <c r="K21" s="27">
        <v>5.5352197659918591E-2</v>
      </c>
      <c r="L21" s="27">
        <v>9.1666044991240453E-2</v>
      </c>
    </row>
    <row r="22" spans="1:12" ht="13.5" thickBot="1">
      <c r="A22" s="24">
        <v>0.13</v>
      </c>
      <c r="B22" s="24">
        <v>0.03</v>
      </c>
      <c r="D22" s="28" t="s">
        <v>89</v>
      </c>
      <c r="E22" s="28">
        <v>0.95151225470671019</v>
      </c>
      <c r="F22" s="28">
        <v>8.8552298643302496E-2</v>
      </c>
      <c r="G22" s="28">
        <v>10.745201076479072</v>
      </c>
      <c r="H22" s="28">
        <v>2.922256212884115E-9</v>
      </c>
      <c r="I22" s="28">
        <v>0.76547077907228356</v>
      </c>
      <c r="J22" s="28">
        <v>1.1375537303411367</v>
      </c>
      <c r="K22" s="28">
        <v>0.76547077907228356</v>
      </c>
      <c r="L22" s="28">
        <v>1.1375537303411367</v>
      </c>
    </row>
    <row r="23" spans="1:12">
      <c r="A23" s="24">
        <f>-0.11</f>
        <v>-0.11</v>
      </c>
      <c r="B23" s="24">
        <v>-0.18</v>
      </c>
    </row>
    <row r="24" spans="1:12">
      <c r="A24" s="24">
        <v>0.13</v>
      </c>
      <c r="B24" s="24">
        <v>7.0000000000000007E-2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4"/>
  <sheetViews>
    <sheetView workbookViewId="0">
      <selection activeCell="N27" sqref="N27"/>
    </sheetView>
  </sheetViews>
  <sheetFormatPr defaultRowHeight="15"/>
  <cols>
    <col min="1" max="1" width="8.140625" style="10" customWidth="1"/>
    <col min="2" max="2" width="12" style="10" bestFit="1" customWidth="1"/>
    <col min="3" max="6" width="9.140625" style="10"/>
    <col min="7" max="7" width="9.5703125" style="10" customWidth="1"/>
    <col min="8" max="8" width="9.140625" style="10"/>
    <col min="9" max="9" width="12" style="10" bestFit="1" customWidth="1"/>
    <col min="10" max="16" width="9.140625" style="10"/>
    <col min="17" max="17" width="10" style="10" bestFit="1" customWidth="1"/>
    <col min="18" max="16384" width="9.140625" style="10"/>
  </cols>
  <sheetData>
    <row r="1" spans="1:21" ht="18.75">
      <c r="A1" s="9" t="s">
        <v>26</v>
      </c>
      <c r="B1" s="9"/>
      <c r="C1" s="9"/>
      <c r="D1" s="9"/>
    </row>
    <row r="2" spans="1:21" ht="18.75">
      <c r="A2" s="11" t="s">
        <v>27</v>
      </c>
      <c r="B2" s="9"/>
      <c r="C2" s="9"/>
      <c r="D2" s="9"/>
      <c r="G2" s="11" t="s">
        <v>28</v>
      </c>
      <c r="H2" s="11" t="s">
        <v>0</v>
      </c>
      <c r="I2" s="12" t="s">
        <v>29</v>
      </c>
      <c r="J2" s="12" t="s">
        <v>30</v>
      </c>
    </row>
    <row r="3" spans="1:21">
      <c r="G3" s="10">
        <v>1000000</v>
      </c>
      <c r="H3" s="10">
        <f>1/52</f>
        <v>1.9230769230769232E-2</v>
      </c>
      <c r="I3" s="10">
        <v>2</v>
      </c>
      <c r="J3" s="10">
        <f>IF(I3=1,1.64485,IF(I3=2,2.32635,"N/A"))</f>
        <v>2.3263500000000001</v>
      </c>
    </row>
    <row r="4" spans="1:21">
      <c r="A4" s="11" t="s">
        <v>31</v>
      </c>
      <c r="B4" s="13" t="s">
        <v>32</v>
      </c>
      <c r="C4" s="13" t="s">
        <v>33</v>
      </c>
    </row>
    <row r="5" spans="1:21">
      <c r="A5" s="10">
        <v>0.2</v>
      </c>
      <c r="B5" s="10">
        <v>0.2</v>
      </c>
      <c r="C5" s="10">
        <v>0.01</v>
      </c>
      <c r="D5" s="14" t="s">
        <v>34</v>
      </c>
      <c r="E5" s="10">
        <f>B5^2</f>
        <v>4.0000000000000008E-2</v>
      </c>
      <c r="F5" s="10">
        <f>C5</f>
        <v>0.01</v>
      </c>
      <c r="G5" s="10">
        <f>C6</f>
        <v>0.02</v>
      </c>
    </row>
    <row r="6" spans="1:21">
      <c r="A6" s="10">
        <v>0.5</v>
      </c>
      <c r="B6" s="10">
        <v>0.4</v>
      </c>
      <c r="C6" s="10">
        <v>0.02</v>
      </c>
      <c r="D6" s="14" t="s">
        <v>35</v>
      </c>
      <c r="E6" s="10">
        <f>F5</f>
        <v>0.01</v>
      </c>
      <c r="F6" s="10">
        <f>B6^2</f>
        <v>0.16000000000000003</v>
      </c>
      <c r="G6" s="10">
        <f>C7</f>
        <v>0.04</v>
      </c>
      <c r="I6" s="10">
        <f t="array" ref="I6:K6">TRANSPOSE(A5:A7)</f>
        <v>0.2</v>
      </c>
      <c r="J6" s="10">
        <v>0.5</v>
      </c>
      <c r="K6" s="10">
        <v>0.3</v>
      </c>
      <c r="M6" s="10">
        <f t="array" ref="M6:O6">MMULT(I6:K6,E5:G7)</f>
        <v>1.9000000000000003E-2</v>
      </c>
      <c r="N6" s="10">
        <v>9.4000000000000014E-2</v>
      </c>
      <c r="O6" s="10">
        <v>0.13200000000000001</v>
      </c>
      <c r="Q6" s="10">
        <f t="array" ref="Q6">MMULT(M6:O6,A5:A7)</f>
        <v>9.0400000000000008E-2</v>
      </c>
      <c r="S6" s="10">
        <f>Q6^0.5</f>
        <v>0.30066592756745819</v>
      </c>
    </row>
    <row r="7" spans="1:21">
      <c r="A7" s="10">
        <v>0.3</v>
      </c>
      <c r="B7" s="10">
        <v>0.6</v>
      </c>
      <c r="C7" s="10">
        <v>0.04</v>
      </c>
      <c r="D7" s="14" t="s">
        <v>36</v>
      </c>
      <c r="E7" s="10">
        <f>G5</f>
        <v>0.02</v>
      </c>
      <c r="F7" s="10">
        <f>G6</f>
        <v>0.04</v>
      </c>
      <c r="G7" s="10">
        <f>B7^2</f>
        <v>0.36</v>
      </c>
    </row>
    <row r="8" spans="1:21" ht="18.75">
      <c r="A8" s="15" t="s">
        <v>37</v>
      </c>
      <c r="B8" s="16"/>
      <c r="C8" s="16"/>
      <c r="D8" s="16"/>
      <c r="E8" s="16"/>
      <c r="F8" s="15" t="s">
        <v>4</v>
      </c>
      <c r="G8" s="16"/>
      <c r="H8" s="16"/>
      <c r="I8" s="16"/>
      <c r="J8" s="15" t="s">
        <v>5</v>
      </c>
      <c r="K8" s="16"/>
      <c r="L8" s="16"/>
      <c r="M8" s="16"/>
      <c r="N8" s="15" t="s">
        <v>6</v>
      </c>
      <c r="O8" s="16"/>
      <c r="P8" s="15" t="s">
        <v>7</v>
      </c>
      <c r="Q8" s="16"/>
      <c r="R8" s="16"/>
      <c r="S8" s="9" t="s">
        <v>1</v>
      </c>
      <c r="T8" s="16"/>
      <c r="U8" s="16"/>
    </row>
    <row r="10" spans="1:21">
      <c r="A10" s="10" t="s">
        <v>38</v>
      </c>
      <c r="B10" s="10">
        <f>G3*S6*J3*H3^0.5</f>
        <v>96996.842806866669</v>
      </c>
    </row>
    <row r="15" spans="1:21">
      <c r="A15" s="11" t="s">
        <v>39</v>
      </c>
      <c r="B15" s="16"/>
      <c r="C15" s="16"/>
      <c r="D15" s="16"/>
    </row>
    <row r="17" spans="1:10">
      <c r="A17" s="18" t="s">
        <v>40</v>
      </c>
      <c r="B17" s="19">
        <v>30</v>
      </c>
      <c r="C17" s="13" t="s">
        <v>41</v>
      </c>
      <c r="D17" s="19">
        <v>0.8</v>
      </c>
      <c r="E17" s="20" t="s">
        <v>42</v>
      </c>
      <c r="F17" s="19">
        <v>0.03</v>
      </c>
      <c r="G17" s="19"/>
      <c r="H17" s="19"/>
      <c r="I17" s="19"/>
    </row>
    <row r="18" spans="1:10">
      <c r="A18" s="20" t="s">
        <v>43</v>
      </c>
      <c r="B18" s="19">
        <f>$B$17+$B$17*$J$18*$D$17*$F$18^0.5</f>
        <v>35.474391706566408</v>
      </c>
      <c r="C18" s="20" t="s">
        <v>44</v>
      </c>
      <c r="D18" s="19">
        <f>$B$17-$B$17*$J$18*$D$17*$F$18^0.5</f>
        <v>24.525608293433592</v>
      </c>
      <c r="E18" s="20" t="s">
        <v>45</v>
      </c>
      <c r="F18" s="19">
        <f>1/52</f>
        <v>1.9230769230769232E-2</v>
      </c>
      <c r="G18" s="21" t="s">
        <v>46</v>
      </c>
      <c r="H18" s="19">
        <v>1</v>
      </c>
      <c r="I18" s="20" t="s">
        <v>47</v>
      </c>
      <c r="J18" s="16">
        <f>IF(H18=1,1.64485,IF(H18=2,2.32635,"N/A"))</f>
        <v>1.6448499999999999</v>
      </c>
    </row>
    <row r="19" spans="1:10">
      <c r="A19" s="22" t="s">
        <v>48</v>
      </c>
      <c r="B19" s="22" t="s">
        <v>49</v>
      </c>
      <c r="C19" s="17" t="s">
        <v>50</v>
      </c>
      <c r="D19" s="17" t="s">
        <v>51</v>
      </c>
      <c r="E19" s="17" t="s">
        <v>52</v>
      </c>
      <c r="F19" s="17" t="s">
        <v>53</v>
      </c>
      <c r="G19" s="17" t="s">
        <v>54</v>
      </c>
      <c r="H19" s="17" t="s">
        <v>55</v>
      </c>
      <c r="I19" s="17" t="s">
        <v>56</v>
      </c>
      <c r="J19" s="17" t="s">
        <v>57</v>
      </c>
    </row>
    <row r="20" spans="1:10">
      <c r="A20" s="10" t="s">
        <v>58</v>
      </c>
      <c r="B20" s="10">
        <v>100</v>
      </c>
      <c r="C20" s="10">
        <v>20</v>
      </c>
      <c r="D20" s="10">
        <v>0.5</v>
      </c>
      <c r="E20" s="10">
        <f t="shared" ref="E20:E31" si="0">IF(A20="call",$B$17*NORMDIST(((LN($B$17/C20))+($F$17+0.5*$D$17^2)*D20)/($D$17*D20^0.5),0,1,1)-C20*2.7182818^(-$F$17*D20)*NORMDIST(((LN($B$17/C20))+($F$17-0.5*$D$17^2)*D20)/($D$17*D20^0.5),0,1,1),$B$17*NORMDIST(((LN($B$17/C20))+($F$17+0.5*$D$17^2)*D20)/($D$17*D20^0.5),0,1,1)-C20*2.7182818^(-$F$17*D20)*NORMDIST(((LN($B$17/C20))+($F$17-0.5*$D$17^2)*D20)/($D$17*D20^0.5),0,1,1)+C20*2.7182818^(-$F$17*D20)-$B$17)</f>
        <v>12.081220656315326</v>
      </c>
      <c r="F20" s="10">
        <f t="shared" ref="F20:F32" si="1">E20*B20</f>
        <v>1208.1220656315327</v>
      </c>
      <c r="G20" s="10">
        <f t="shared" ref="G20:G31" si="2">IF(A20="call",$B$18*NORMDIST(((LN($B$18/C20))+($F$17+0.5*$D$17^2)*D20)/($D$17*D20^0.5),0,1,1)-C20*2.7182818^(-$F$17*D20)*NORMDIST(((LN($B$18/C20))+($F$17-0.5*$D$17^2)*D20)/($D$17*D20^0.5),0,1,1),$B$18*NORMDIST(((LN($B$18/C20))+($F$17+0.5*$D$17^2)*D20)/($D$17*D20^0.5),0,1,1)-C20*2.7182818^(-$F$17*D20)*NORMDIST(((LN($B$18/C20))+($F$17-0.5*$D$17^2)*D20)/($D$17*D20^0.5),0,1,1)+C20*2.7182818^(-$F$17*D20)-$B$18)</f>
        <v>16.897742413093283</v>
      </c>
      <c r="H20" s="10">
        <f t="shared" ref="H20:H32" si="3">G20*B20</f>
        <v>1689.7742413093283</v>
      </c>
      <c r="I20" s="10">
        <f t="shared" ref="I20:I31" si="4">IF(A20="call",$D$18*NORMDIST(((LN($D$18/C20))+($F$17+0.5*$D$17^2)*D20)/($D$17*D20^0.5),0,1,1)-C20*2.7182818^(-$F$17*D20)*NORMDIST(((LN($D$18/C20))+($F$17-0.5*$D$17^2)*D20)/($D$17*D20^0.5),0,1,1),$D$18*NORMDIST(((LN($D$18/C20))+($F$17+0.5*$D$17^2)*D20)/($D$17*D20^0.5),0,1,1)-C20*2.7182818^(-$F$17*D20)*NORMDIST(((LN($D$18/C20))+($F$17-0.5*$D$17^2)*D20)/($D$17*D20^0.5),0,1,1)+C20*2.7182818^(-$F$17*D20)-$D$18)</f>
        <v>7.6896084663123681</v>
      </c>
      <c r="J20" s="10">
        <f t="shared" ref="J20:J32" si="5">I20*B20</f>
        <v>768.96084663123679</v>
      </c>
    </row>
    <row r="21" spans="1:10">
      <c r="A21" s="10" t="s">
        <v>59</v>
      </c>
      <c r="B21" s="10">
        <v>100</v>
      </c>
      <c r="C21" s="10">
        <v>20</v>
      </c>
      <c r="D21" s="10">
        <v>0.5</v>
      </c>
      <c r="E21" s="10">
        <f t="shared" si="0"/>
        <v>1.7834594514706694</v>
      </c>
      <c r="F21" s="10">
        <f t="shared" si="1"/>
        <v>178.34594514706694</v>
      </c>
      <c r="G21" s="10">
        <f t="shared" si="2"/>
        <v>1.1255895016822137</v>
      </c>
      <c r="H21" s="10">
        <f t="shared" si="3"/>
        <v>112.55895016822137</v>
      </c>
      <c r="I21" s="10">
        <f t="shared" si="4"/>
        <v>2.8662389680341178</v>
      </c>
      <c r="J21" s="10">
        <f t="shared" si="5"/>
        <v>286.62389680341175</v>
      </c>
    </row>
    <row r="22" spans="1:10">
      <c r="A22" s="10" t="s">
        <v>58</v>
      </c>
      <c r="B22" s="10">
        <v>-1000</v>
      </c>
      <c r="C22" s="10">
        <v>25</v>
      </c>
      <c r="D22" s="10">
        <v>0.5</v>
      </c>
      <c r="E22" s="10">
        <f t="shared" si="0"/>
        <v>9.1242297917813175</v>
      </c>
      <c r="F22" s="10">
        <f t="shared" si="1"/>
        <v>-9124.2297917813175</v>
      </c>
      <c r="G22" s="10">
        <f t="shared" si="2"/>
        <v>13.408640026582253</v>
      </c>
      <c r="H22" s="10">
        <f t="shared" si="3"/>
        <v>-13408.640026582252</v>
      </c>
      <c r="I22" s="10">
        <f t="shared" si="4"/>
        <v>5.4223443347560263</v>
      </c>
      <c r="J22" s="10">
        <f t="shared" si="5"/>
        <v>-5422.344334756026</v>
      </c>
    </row>
    <row r="23" spans="1:10">
      <c r="A23" s="10" t="s">
        <v>59</v>
      </c>
      <c r="B23" s="10">
        <v>200</v>
      </c>
      <c r="C23" s="10">
        <v>25</v>
      </c>
      <c r="D23" s="10">
        <v>0.5</v>
      </c>
      <c r="E23" s="10">
        <f t="shared" si="0"/>
        <v>3.7520282857254941</v>
      </c>
      <c r="F23" s="10">
        <f t="shared" si="1"/>
        <v>750.40565714509876</v>
      </c>
      <c r="G23" s="10">
        <f t="shared" si="2"/>
        <v>2.5620468139600234</v>
      </c>
      <c r="H23" s="10">
        <f t="shared" si="3"/>
        <v>512.40936279200469</v>
      </c>
      <c r="I23" s="10">
        <f t="shared" si="4"/>
        <v>5.5245345352666106</v>
      </c>
      <c r="J23" s="10">
        <f t="shared" si="5"/>
        <v>1104.9069070533221</v>
      </c>
    </row>
    <row r="24" spans="1:10">
      <c r="A24" s="10" t="s">
        <v>58</v>
      </c>
      <c r="B24" s="10">
        <v>100</v>
      </c>
      <c r="C24" s="10">
        <v>30</v>
      </c>
      <c r="D24" s="10">
        <v>0.5</v>
      </c>
      <c r="E24" s="10">
        <f t="shared" si="0"/>
        <v>6.8569340737138873</v>
      </c>
      <c r="F24" s="10">
        <f t="shared" si="1"/>
        <v>685.69340737138873</v>
      </c>
      <c r="G24" s="10">
        <f t="shared" si="2"/>
        <v>10.564364659208321</v>
      </c>
      <c r="H24" s="10">
        <f t="shared" si="3"/>
        <v>1056.436465920832</v>
      </c>
      <c r="I24" s="10">
        <f t="shared" si="4"/>
        <v>3.8224580016676963</v>
      </c>
      <c r="J24" s="10">
        <f t="shared" si="5"/>
        <v>382.24580016676964</v>
      </c>
    </row>
    <row r="25" spans="1:10">
      <c r="A25" s="10" t="s">
        <v>59</v>
      </c>
      <c r="B25" s="10">
        <v>1000</v>
      </c>
      <c r="C25" s="10">
        <v>30</v>
      </c>
      <c r="D25" s="10">
        <v>0.5</v>
      </c>
      <c r="E25" s="10">
        <f t="shared" si="0"/>
        <v>6.410292266446902</v>
      </c>
      <c r="F25" s="10">
        <f t="shared" si="1"/>
        <v>6410.2922664469024</v>
      </c>
      <c r="G25" s="10">
        <f t="shared" si="2"/>
        <v>4.6433311453749297</v>
      </c>
      <c r="H25" s="10">
        <f t="shared" si="3"/>
        <v>4643.3311453749302</v>
      </c>
      <c r="I25" s="10">
        <f t="shared" si="4"/>
        <v>8.8502079009671206</v>
      </c>
      <c r="J25" s="10">
        <f t="shared" si="5"/>
        <v>8850.2079009671215</v>
      </c>
    </row>
    <row r="26" spans="1:10">
      <c r="A26" s="10" t="s">
        <v>58</v>
      </c>
      <c r="B26" s="10">
        <v>100</v>
      </c>
      <c r="C26" s="10">
        <v>35</v>
      </c>
      <c r="D26" s="10">
        <v>0.5</v>
      </c>
      <c r="E26" s="10">
        <f t="shared" si="0"/>
        <v>5.1503595970129279</v>
      </c>
      <c r="F26" s="10">
        <f t="shared" si="1"/>
        <v>515.03595970129277</v>
      </c>
      <c r="G26" s="10">
        <f t="shared" si="2"/>
        <v>8.2967257052400019</v>
      </c>
      <c r="H26" s="10">
        <f t="shared" si="3"/>
        <v>829.67257052400021</v>
      </c>
      <c r="I26" s="10">
        <f t="shared" si="4"/>
        <v>2.7060875234226378</v>
      </c>
      <c r="J26" s="10">
        <f t="shared" si="5"/>
        <v>270.60875234226376</v>
      </c>
    </row>
    <row r="27" spans="1:10">
      <c r="A27" s="10" t="s">
        <v>59</v>
      </c>
      <c r="B27" s="10">
        <v>-500</v>
      </c>
      <c r="C27" s="10">
        <v>35</v>
      </c>
      <c r="D27" s="10">
        <v>0.5</v>
      </c>
      <c r="E27" s="10">
        <f t="shared" si="0"/>
        <v>9.6292774885347754</v>
      </c>
      <c r="F27" s="10">
        <f t="shared" si="1"/>
        <v>-4814.6387442673877</v>
      </c>
      <c r="G27" s="10">
        <f t="shared" si="2"/>
        <v>7.301251890195438</v>
      </c>
      <c r="H27" s="10">
        <f t="shared" si="3"/>
        <v>-3650.6259450977191</v>
      </c>
      <c r="I27" s="10">
        <f t="shared" si="4"/>
        <v>12.659397121510892</v>
      </c>
      <c r="J27" s="10">
        <f t="shared" si="5"/>
        <v>-6329.6985607554461</v>
      </c>
    </row>
    <row r="28" spans="1:10">
      <c r="A28" s="10" t="s">
        <v>58</v>
      </c>
      <c r="B28" s="10">
        <v>100</v>
      </c>
      <c r="C28" s="10">
        <v>40</v>
      </c>
      <c r="D28" s="10">
        <v>0.5</v>
      </c>
      <c r="E28" s="10">
        <f t="shared" si="0"/>
        <v>3.8771061647782563</v>
      </c>
      <c r="F28" s="10">
        <f t="shared" si="1"/>
        <v>387.71061647782562</v>
      </c>
      <c r="G28" s="10">
        <f t="shared" si="2"/>
        <v>6.5122799468017707</v>
      </c>
      <c r="H28" s="10">
        <f t="shared" si="3"/>
        <v>651.22799468017706</v>
      </c>
      <c r="I28" s="10">
        <f t="shared" si="4"/>
        <v>1.9285754183273491</v>
      </c>
      <c r="J28" s="10">
        <f t="shared" si="5"/>
        <v>192.85754183273491</v>
      </c>
    </row>
    <row r="29" spans="1:10">
      <c r="A29" s="10" t="s">
        <v>59</v>
      </c>
      <c r="B29" s="10">
        <v>100</v>
      </c>
      <c r="C29" s="10">
        <v>40</v>
      </c>
      <c r="D29" s="10">
        <v>0.5</v>
      </c>
      <c r="E29" s="10">
        <f t="shared" si="0"/>
        <v>13.281583755088938</v>
      </c>
      <c r="F29" s="10">
        <f t="shared" si="1"/>
        <v>1328.1583755088939</v>
      </c>
      <c r="G29" s="10">
        <f t="shared" si="2"/>
        <v>10.442365830546045</v>
      </c>
      <c r="H29" s="10">
        <f t="shared" si="3"/>
        <v>1044.2365830546046</v>
      </c>
      <c r="I29" s="10">
        <f t="shared" si="4"/>
        <v>16.80744471520444</v>
      </c>
      <c r="J29" s="10">
        <f t="shared" si="5"/>
        <v>1680.744471520444</v>
      </c>
    </row>
    <row r="30" spans="1:10">
      <c r="A30" s="10" t="s">
        <v>58</v>
      </c>
      <c r="B30" s="10">
        <v>100</v>
      </c>
      <c r="C30" s="10">
        <v>40</v>
      </c>
      <c r="D30" s="10">
        <v>1</v>
      </c>
      <c r="E30" s="10">
        <f t="shared" si="0"/>
        <v>6.8046757491660035</v>
      </c>
      <c r="F30" s="10">
        <f t="shared" si="1"/>
        <v>680.46757491660037</v>
      </c>
      <c r="G30" s="10">
        <f t="shared" si="2"/>
        <v>9.9441379241482899</v>
      </c>
      <c r="H30" s="10">
        <f t="shared" si="3"/>
        <v>994.413792414829</v>
      </c>
      <c r="I30" s="10">
        <f t="shared" si="4"/>
        <v>4.1628494848336866</v>
      </c>
      <c r="J30" s="10">
        <f t="shared" si="5"/>
        <v>416.28494848336868</v>
      </c>
    </row>
    <row r="31" spans="1:10">
      <c r="A31" s="10" t="s">
        <v>59</v>
      </c>
      <c r="B31" s="10">
        <v>100</v>
      </c>
      <c r="C31" s="10">
        <v>40</v>
      </c>
      <c r="D31" s="10">
        <v>1</v>
      </c>
      <c r="E31" s="10">
        <f t="shared" si="0"/>
        <v>15.622497103298421</v>
      </c>
      <c r="F31" s="10">
        <f t="shared" si="1"/>
        <v>1562.2497103298422</v>
      </c>
      <c r="G31" s="10">
        <f t="shared" si="2"/>
        <v>13.287567571714305</v>
      </c>
      <c r="H31" s="10">
        <f t="shared" si="3"/>
        <v>1328.7567571714305</v>
      </c>
      <c r="I31" s="10">
        <f t="shared" si="4"/>
        <v>18.455062545532513</v>
      </c>
      <c r="J31" s="10">
        <f t="shared" si="5"/>
        <v>1845.5062545532514</v>
      </c>
    </row>
    <row r="32" spans="1:10">
      <c r="A32" s="10" t="s">
        <v>60</v>
      </c>
      <c r="B32" s="10">
        <v>1000</v>
      </c>
      <c r="E32" s="10">
        <f>B17</f>
        <v>30</v>
      </c>
      <c r="F32" s="10">
        <f t="shared" si="1"/>
        <v>30000</v>
      </c>
      <c r="G32" s="10">
        <f>B18</f>
        <v>35.474391706566408</v>
      </c>
      <c r="H32" s="10">
        <f t="shared" si="3"/>
        <v>35474.391706566406</v>
      </c>
      <c r="I32" s="10">
        <f>D18</f>
        <v>24.525608293433592</v>
      </c>
      <c r="J32" s="10">
        <f t="shared" si="5"/>
        <v>24525.608293433594</v>
      </c>
    </row>
    <row r="33" spans="1:10">
      <c r="A33" s="10" t="s">
        <v>61</v>
      </c>
      <c r="F33" s="10">
        <f>SUM(F20:F32)</f>
        <v>29767.613042627741</v>
      </c>
      <c r="H33" s="10">
        <f>SUM(H20:H32)</f>
        <v>31277.943598296792</v>
      </c>
      <c r="J33" s="10">
        <f>SUM(J20:J32)</f>
        <v>28572.512718276048</v>
      </c>
    </row>
    <row r="34" spans="1:10">
      <c r="A34" s="10" t="s">
        <v>62</v>
      </c>
      <c r="B34" s="10">
        <f>F33*J18*D17*F18^0.5</f>
        <v>5431.9857988279791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 and Fund Returns</vt:lpstr>
      <vt:lpstr>Jensen's Alpha</vt:lpstr>
      <vt:lpstr>VaR</vt:lpstr>
    </vt:vector>
  </TitlesOfParts>
  <Company>Pace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John</cp:lastModifiedBy>
  <dcterms:created xsi:type="dcterms:W3CDTF">2002-02-01T15:05:39Z</dcterms:created>
  <dcterms:modified xsi:type="dcterms:W3CDTF">2012-06-26T18:50:15Z</dcterms:modified>
</cp:coreProperties>
</file>