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P51\F22\Webpage\1and1\"/>
    </mc:Choice>
  </mc:AlternateContent>
  <xr:revisionPtr revIDLastSave="0" documentId="13_ncr:1_{5F04717F-0836-4E18-936D-D6C54461760B}" xr6:coauthVersionLast="47" xr6:coauthVersionMax="47" xr10:uidLastSave="{00000000-0000-0000-0000-000000000000}"/>
  <bookViews>
    <workbookView xWindow="-120" yWindow="-120" windowWidth="29040" windowHeight="15720" xr2:uid="{09D5D3ED-684B-4C1A-859C-1551FF09E9D4}"/>
  </bookViews>
  <sheets>
    <sheet name="ReturnStandardDeviation" sheetId="2" r:id="rId1"/>
    <sheet name="Covariance" sheetId="3" r:id="rId2"/>
    <sheet name="Returns Covariance" sheetId="4" r:id="rId3"/>
    <sheet name="Portfolio Possibility Frontier" sheetId="5" r:id="rId4"/>
    <sheet name="Portfolio Variance Matrices" sheetId="9" r:id="rId5"/>
    <sheet name="Diversification and Risk" sheetId="14" r:id="rId6"/>
    <sheet name="Extra Portfolio Problem" sheetId="12" r:id="rId7"/>
    <sheet name="Efficient Frontier" sheetId="11" r:id="rId8"/>
    <sheet name="Portfolio Optimization" sheetId="10" r:id="rId9"/>
    <sheet name="Beta" sheetId="8" r:id="rId10"/>
    <sheet name="APT" sheetId="13" r:id="rId11"/>
    <sheet name="Sheet1" sheetId="1" r:id="rId12"/>
  </sheets>
  <externalReferences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4" l="1"/>
  <c r="C17" i="14"/>
  <c r="C18" i="14"/>
  <c r="C19" i="14"/>
  <c r="C20" i="14"/>
  <c r="C21" i="14"/>
  <c r="C22" i="14"/>
  <c r="C23" i="14"/>
  <c r="C24" i="14"/>
  <c r="C25" i="14"/>
  <c r="C26" i="14"/>
  <c r="C27" i="14"/>
  <c r="C28" i="14"/>
  <c r="D18" i="14" s="1"/>
  <c r="C30" i="14"/>
  <c r="D28" i="14" l="1"/>
  <c r="D25" i="14"/>
  <c r="C31" i="14"/>
  <c r="D27" i="14"/>
  <c r="D16" i="14"/>
  <c r="D23" i="14"/>
  <c r="D21" i="14"/>
  <c r="D19" i="14"/>
  <c r="D17" i="14"/>
  <c r="D26" i="14"/>
  <c r="D24" i="14"/>
  <c r="D22" i="14"/>
  <c r="D20" i="14"/>
  <c r="I78" i="13" l="1"/>
  <c r="I77" i="13" a="1"/>
  <c r="I81" i="13" s="1"/>
  <c r="M47" i="13"/>
  <c r="L47" i="13"/>
  <c r="K47" i="13"/>
  <c r="J47" i="13"/>
  <c r="I47" i="13"/>
  <c r="I44" i="13"/>
  <c r="H44" i="13"/>
  <c r="G44" i="13"/>
  <c r="F44" i="13"/>
  <c r="I43" i="13"/>
  <c r="H43" i="13"/>
  <c r="G43" i="13"/>
  <c r="F43" i="13"/>
  <c r="I42" i="13"/>
  <c r="H42" i="13"/>
  <c r="G42" i="13"/>
  <c r="F42" i="13"/>
  <c r="E42" i="13"/>
  <c r="D42" i="13"/>
  <c r="C42" i="13"/>
  <c r="B42" i="13"/>
  <c r="K42" i="13" s="1" a="1"/>
  <c r="A42" i="13"/>
  <c r="I41" i="13"/>
  <c r="H41" i="13"/>
  <c r="G41" i="13"/>
  <c r="F41" i="13"/>
  <c r="I40" i="13"/>
  <c r="H40" i="13"/>
  <c r="G40" i="13"/>
  <c r="F40" i="13"/>
  <c r="C14" i="11"/>
  <c r="C13" i="11"/>
  <c r="B11" i="11"/>
  <c r="A11" i="11"/>
  <c r="B10" i="11"/>
  <c r="A10" i="11"/>
  <c r="L8" i="11"/>
  <c r="M42" i="13" l="1"/>
  <c r="L42" i="13"/>
  <c r="K42" i="13"/>
  <c r="N42" i="13"/>
  <c r="I79" i="13"/>
  <c r="I80" i="13"/>
  <c r="I77" i="13"/>
  <c r="A13" i="11" a="1"/>
  <c r="B13" i="11" l="1"/>
  <c r="A14" i="11"/>
  <c r="A13" i="11"/>
  <c r="D13" i="11" s="1" a="1"/>
  <c r="B14" i="11"/>
  <c r="D14" i="11" l="1"/>
  <c r="D13" i="11"/>
  <c r="A16" i="11" s="1"/>
  <c r="A17" i="11" l="1"/>
  <c r="E19" i="11" s="1"/>
  <c r="L9" i="11" l="1"/>
  <c r="E20" i="11"/>
  <c r="M9" i="11" s="1"/>
  <c r="E21" i="11" l="1"/>
  <c r="A45" i="10" l="1" a="1"/>
  <c r="A45" i="10" s="1"/>
  <c r="A35" i="10" a="1"/>
  <c r="E39" i="10" s="1"/>
  <c r="D17" i="9"/>
  <c r="D16" i="9"/>
  <c r="D15" i="9"/>
  <c r="F12" i="9"/>
  <c r="E12" i="9"/>
  <c r="D12" i="9"/>
  <c r="H11" i="9" a="1"/>
  <c r="J11" i="9" s="1"/>
  <c r="C16" i="9" s="1"/>
  <c r="F11" i="9"/>
  <c r="E11" i="9"/>
  <c r="D11" i="9"/>
  <c r="C11" i="9"/>
  <c r="B11" i="9"/>
  <c r="A11" i="9"/>
  <c r="F10" i="9"/>
  <c r="E10" i="9"/>
  <c r="D10" i="9"/>
  <c r="B35" i="10" l="1"/>
  <c r="A36" i="10"/>
  <c r="E36" i="10"/>
  <c r="D37" i="10"/>
  <c r="C38" i="10"/>
  <c r="B39" i="10"/>
  <c r="B45" i="10"/>
  <c r="D45" i="10" s="1" a="1"/>
  <c r="C35" i="10"/>
  <c r="B36" i="10"/>
  <c r="A37" i="10"/>
  <c r="E37" i="10"/>
  <c r="D38" i="10"/>
  <c r="C39" i="10"/>
  <c r="A46" i="10"/>
  <c r="B46" i="10"/>
  <c r="D35" i="10"/>
  <c r="C36" i="10"/>
  <c r="B37" i="10"/>
  <c r="A38" i="10"/>
  <c r="E38" i="10"/>
  <c r="D39" i="10"/>
  <c r="A35" i="10"/>
  <c r="G35" i="10" s="1" a="1"/>
  <c r="E35" i="10"/>
  <c r="D36" i="10"/>
  <c r="C37" i="10"/>
  <c r="B38" i="10"/>
  <c r="A39" i="10"/>
  <c r="H11" i="9"/>
  <c r="A16" i="9" s="1"/>
  <c r="I11" i="9"/>
  <c r="B16" i="9" s="1"/>
  <c r="D46" i="10" l="1"/>
  <c r="D45" i="10"/>
  <c r="E45" i="10" s="1"/>
  <c r="G37" i="10"/>
  <c r="G36" i="10"/>
  <c r="G39" i="10"/>
  <c r="G35" i="10"/>
  <c r="G38" i="10"/>
  <c r="F16" i="9" a="1"/>
  <c r="F16" i="9" s="1"/>
  <c r="F20" i="9" s="1"/>
  <c r="E46" i="10" l="1"/>
  <c r="D56" i="8" l="1"/>
  <c r="C55" i="8"/>
  <c r="D55" i="8" s="1"/>
  <c r="D54" i="8"/>
  <c r="C54" i="8"/>
  <c r="C53" i="8"/>
  <c r="C52" i="8"/>
  <c r="C51" i="8"/>
  <c r="D51" i="8" s="1"/>
  <c r="D50" i="8"/>
  <c r="C50" i="8"/>
  <c r="C49" i="8"/>
  <c r="C48" i="8"/>
  <c r="C47" i="8"/>
  <c r="D47" i="8" s="1"/>
  <c r="D46" i="8"/>
  <c r="C46" i="8"/>
  <c r="C45" i="8"/>
  <c r="C44" i="8"/>
  <c r="E44" i="8" s="1"/>
  <c r="C43" i="8"/>
  <c r="D43" i="8" s="1"/>
  <c r="D42" i="8"/>
  <c r="C42" i="8"/>
  <c r="C41" i="8"/>
  <c r="E41" i="8" s="1"/>
  <c r="C40" i="8"/>
  <c r="C39" i="8"/>
  <c r="C38" i="8"/>
  <c r="C37" i="8"/>
  <c r="E37" i="8" s="1"/>
  <c r="G36" i="8"/>
  <c r="G37" i="8" s="1"/>
  <c r="C36" i="8"/>
  <c r="C35" i="8"/>
  <c r="C34" i="8"/>
  <c r="E34" i="8" s="1"/>
  <c r="D33" i="8"/>
  <c r="C33" i="8"/>
  <c r="C57" i="8" s="1"/>
  <c r="D28" i="8"/>
  <c r="C27" i="8"/>
  <c r="E27" i="8" s="1"/>
  <c r="C26" i="8"/>
  <c r="D26" i="8" s="1"/>
  <c r="D25" i="8"/>
  <c r="C25" i="8"/>
  <c r="C24" i="8"/>
  <c r="E24" i="8" s="1"/>
  <c r="C23" i="8"/>
  <c r="E23" i="8" s="1"/>
  <c r="C22" i="8"/>
  <c r="D22" i="8" s="1"/>
  <c r="D21" i="8"/>
  <c r="C21" i="8"/>
  <c r="C20" i="8"/>
  <c r="E20" i="8" s="1"/>
  <c r="C19" i="8"/>
  <c r="C18" i="8"/>
  <c r="D18" i="8" s="1"/>
  <c r="D17" i="8"/>
  <c r="C17" i="8"/>
  <c r="C16" i="8"/>
  <c r="C15" i="8"/>
  <c r="C14" i="8"/>
  <c r="D14" i="8" s="1"/>
  <c r="D13" i="8"/>
  <c r="C13" i="8"/>
  <c r="D12" i="8"/>
  <c r="C12" i="8"/>
  <c r="D11" i="8"/>
  <c r="C11" i="8"/>
  <c r="D10" i="8"/>
  <c r="C10" i="8"/>
  <c r="D9" i="8"/>
  <c r="C9" i="8"/>
  <c r="G8" i="8"/>
  <c r="G9" i="8" s="1"/>
  <c r="D8" i="8"/>
  <c r="C8" i="8"/>
  <c r="D7" i="8"/>
  <c r="C7" i="8"/>
  <c r="D6" i="8"/>
  <c r="C6" i="8"/>
  <c r="D5" i="8"/>
  <c r="C5" i="8"/>
  <c r="C29" i="8" s="1"/>
  <c r="B27" i="5"/>
  <c r="D27" i="5" s="1"/>
  <c r="A8" i="5"/>
  <c r="D7" i="5"/>
  <c r="B7" i="5"/>
  <c r="C7" i="5" s="1"/>
  <c r="H33" i="4"/>
  <c r="H32" i="4"/>
  <c r="H31" i="4"/>
  <c r="H30" i="4"/>
  <c r="F27" i="4"/>
  <c r="C27" i="4"/>
  <c r="F26" i="4"/>
  <c r="C26" i="4"/>
  <c r="D26" i="4" s="1"/>
  <c r="F25" i="4"/>
  <c r="C25" i="4"/>
  <c r="F24" i="4"/>
  <c r="C24" i="4"/>
  <c r="F23" i="4"/>
  <c r="C23" i="4"/>
  <c r="F22" i="4"/>
  <c r="C22" i="4"/>
  <c r="D22" i="4" s="1"/>
  <c r="F21" i="4"/>
  <c r="C21" i="4"/>
  <c r="F20" i="4"/>
  <c r="C20" i="4"/>
  <c r="F19" i="4"/>
  <c r="C19" i="4"/>
  <c r="F18" i="4"/>
  <c r="C18" i="4"/>
  <c r="D18" i="4" s="1"/>
  <c r="F17" i="4"/>
  <c r="C17" i="4"/>
  <c r="F16" i="4"/>
  <c r="C16" i="4"/>
  <c r="F15" i="4"/>
  <c r="C15" i="4"/>
  <c r="F14" i="4"/>
  <c r="C14" i="4"/>
  <c r="D14" i="4" s="1"/>
  <c r="F13" i="4"/>
  <c r="C13" i="4"/>
  <c r="F12" i="4"/>
  <c r="C12" i="4"/>
  <c r="F11" i="4"/>
  <c r="C11" i="4"/>
  <c r="F10" i="4"/>
  <c r="C10" i="4"/>
  <c r="D10" i="4" s="1"/>
  <c r="F9" i="4"/>
  <c r="C9" i="4"/>
  <c r="F8" i="4"/>
  <c r="C8" i="4"/>
  <c r="F7" i="4"/>
  <c r="F29" i="4" s="1"/>
  <c r="C7" i="4"/>
  <c r="F6" i="4"/>
  <c r="C6" i="4"/>
  <c r="D6" i="4" s="1"/>
  <c r="F5" i="4"/>
  <c r="G5" i="4" s="1"/>
  <c r="C5" i="4"/>
  <c r="C29" i="4" s="1"/>
  <c r="C10" i="3"/>
  <c r="C9" i="3"/>
  <c r="G6" i="3"/>
  <c r="F6" i="3"/>
  <c r="E6" i="3"/>
  <c r="F5" i="3"/>
  <c r="G5" i="3" s="1"/>
  <c r="E5" i="3"/>
  <c r="F4" i="3"/>
  <c r="C12" i="3" s="1"/>
  <c r="E4" i="3"/>
  <c r="C11" i="3" s="1"/>
  <c r="D56" i="2"/>
  <c r="C55" i="2"/>
  <c r="D55" i="2" s="1"/>
  <c r="D54" i="2"/>
  <c r="C54" i="2"/>
  <c r="C53" i="2"/>
  <c r="C52" i="2"/>
  <c r="C51" i="2"/>
  <c r="D51" i="2" s="1"/>
  <c r="D50" i="2"/>
  <c r="C50" i="2"/>
  <c r="C49" i="2"/>
  <c r="C48" i="2"/>
  <c r="C47" i="2"/>
  <c r="D47" i="2" s="1"/>
  <c r="D46" i="2"/>
  <c r="C46" i="2"/>
  <c r="C45" i="2"/>
  <c r="C44" i="2"/>
  <c r="E44" i="2" s="1"/>
  <c r="C43" i="2"/>
  <c r="D43" i="2" s="1"/>
  <c r="D42" i="2"/>
  <c r="C42" i="2"/>
  <c r="C41" i="2"/>
  <c r="E41" i="2" s="1"/>
  <c r="C40" i="2"/>
  <c r="C39" i="2"/>
  <c r="C38" i="2"/>
  <c r="C37" i="2"/>
  <c r="E37" i="2" s="1"/>
  <c r="G36" i="2"/>
  <c r="G37" i="2" s="1"/>
  <c r="C36" i="2"/>
  <c r="C35" i="2"/>
  <c r="C34" i="2"/>
  <c r="E34" i="2" s="1"/>
  <c r="D33" i="2"/>
  <c r="C33" i="2"/>
  <c r="C57" i="2" s="1"/>
  <c r="D28" i="2"/>
  <c r="C27" i="2"/>
  <c r="C26" i="2"/>
  <c r="D26" i="2" s="1"/>
  <c r="D25" i="2"/>
  <c r="C25" i="2"/>
  <c r="C24" i="2"/>
  <c r="C23" i="2"/>
  <c r="C22" i="2"/>
  <c r="D22" i="2" s="1"/>
  <c r="D21" i="2"/>
  <c r="C21" i="2"/>
  <c r="C20" i="2"/>
  <c r="C19" i="2"/>
  <c r="C18" i="2"/>
  <c r="D18" i="2" s="1"/>
  <c r="D17" i="2"/>
  <c r="C17" i="2"/>
  <c r="C16" i="2"/>
  <c r="C15" i="2"/>
  <c r="C14" i="2"/>
  <c r="D14" i="2" s="1"/>
  <c r="D13" i="2"/>
  <c r="C13" i="2"/>
  <c r="D12" i="2"/>
  <c r="C12" i="2"/>
  <c r="D11" i="2"/>
  <c r="C11" i="2"/>
  <c r="D10" i="2"/>
  <c r="C10" i="2"/>
  <c r="D9" i="2"/>
  <c r="C9" i="2"/>
  <c r="G8" i="2"/>
  <c r="G9" i="2" s="1"/>
  <c r="D8" i="2"/>
  <c r="C8" i="2"/>
  <c r="D7" i="2"/>
  <c r="C7" i="2"/>
  <c r="D6" i="2"/>
  <c r="C6" i="2"/>
  <c r="D5" i="2"/>
  <c r="C5" i="2"/>
  <c r="E26" i="8" l="1"/>
  <c r="E18" i="8"/>
  <c r="E5" i="8"/>
  <c r="E25" i="8"/>
  <c r="E21" i="8"/>
  <c r="E17" i="8"/>
  <c r="E13" i="8"/>
  <c r="E12" i="8"/>
  <c r="E11" i="8"/>
  <c r="E10" i="8"/>
  <c r="E9" i="8"/>
  <c r="E8" i="8"/>
  <c r="E7" i="8"/>
  <c r="E6" i="8"/>
  <c r="E22" i="8"/>
  <c r="E14" i="8"/>
  <c r="E15" i="8"/>
  <c r="E35" i="8"/>
  <c r="E38" i="8"/>
  <c r="E45" i="8"/>
  <c r="E48" i="8"/>
  <c r="E16" i="8"/>
  <c r="E19" i="8"/>
  <c r="E55" i="8"/>
  <c r="E51" i="8"/>
  <c r="E43" i="8"/>
  <c r="E54" i="8"/>
  <c r="E50" i="8"/>
  <c r="E46" i="8"/>
  <c r="E42" i="8"/>
  <c r="E33" i="8"/>
  <c r="E57" i="8" s="1"/>
  <c r="G38" i="8" s="1"/>
  <c r="G39" i="8" s="1"/>
  <c r="G40" i="8" s="1"/>
  <c r="E47" i="8"/>
  <c r="E36" i="8"/>
  <c r="E39" i="8"/>
  <c r="E49" i="8"/>
  <c r="E52" i="8"/>
  <c r="E40" i="8"/>
  <c r="E53" i="8"/>
  <c r="D16" i="8"/>
  <c r="D20" i="8"/>
  <c r="D24" i="8"/>
  <c r="D34" i="8"/>
  <c r="G33" i="8" s="1" a="1"/>
  <c r="G33" i="8" s="1"/>
  <c r="G34" i="8" s="1"/>
  <c r="G35" i="8" s="1"/>
  <c r="D35" i="8"/>
  <c r="D36" i="8"/>
  <c r="D37" i="8"/>
  <c r="D38" i="8"/>
  <c r="D39" i="8"/>
  <c r="D40" i="8"/>
  <c r="D41" i="8"/>
  <c r="D45" i="8"/>
  <c r="D49" i="8"/>
  <c r="D53" i="8"/>
  <c r="D15" i="8"/>
  <c r="G5" i="8" s="1" a="1"/>
  <c r="G5" i="8" s="1"/>
  <c r="G6" i="8" s="1"/>
  <c r="G7" i="8" s="1"/>
  <c r="D19" i="8"/>
  <c r="D23" i="8"/>
  <c r="D27" i="8"/>
  <c r="D44" i="8"/>
  <c r="D48" i="8"/>
  <c r="D52" i="8"/>
  <c r="A9" i="5"/>
  <c r="B8" i="5"/>
  <c r="D8" i="5" s="1"/>
  <c r="C27" i="5"/>
  <c r="G8" i="4"/>
  <c r="G12" i="4"/>
  <c r="G16" i="4"/>
  <c r="G20" i="4"/>
  <c r="G24" i="4"/>
  <c r="D27" i="4"/>
  <c r="D23" i="4"/>
  <c r="H23" i="4" s="1"/>
  <c r="D20" i="4"/>
  <c r="D8" i="4"/>
  <c r="D24" i="4"/>
  <c r="D16" i="4"/>
  <c r="H16" i="4" s="1"/>
  <c r="D12" i="4"/>
  <c r="H12" i="4" s="1"/>
  <c r="D7" i="4"/>
  <c r="D9" i="4"/>
  <c r="H9" i="4" s="1"/>
  <c r="D11" i="4"/>
  <c r="H11" i="4" s="1"/>
  <c r="D13" i="4"/>
  <c r="D15" i="4"/>
  <c r="D17" i="4"/>
  <c r="H17" i="4" s="1"/>
  <c r="D19" i="4"/>
  <c r="H19" i="4" s="1"/>
  <c r="D21" i="4"/>
  <c r="D25" i="4"/>
  <c r="G25" i="4"/>
  <c r="G21" i="4"/>
  <c r="G17" i="4"/>
  <c r="G18" i="4"/>
  <c r="H18" i="4" s="1"/>
  <c r="G6" i="4"/>
  <c r="H6" i="4" s="1"/>
  <c r="G22" i="4"/>
  <c r="H22" i="4" s="1"/>
  <c r="G26" i="4"/>
  <c r="H26" i="4" s="1"/>
  <c r="G14" i="4"/>
  <c r="H14" i="4" s="1"/>
  <c r="G10" i="4"/>
  <c r="H10" i="4" s="1"/>
  <c r="G9" i="4"/>
  <c r="G11" i="4"/>
  <c r="G13" i="4"/>
  <c r="G15" i="4"/>
  <c r="G19" i="4"/>
  <c r="G23" i="4"/>
  <c r="G27" i="4"/>
  <c r="D5" i="4"/>
  <c r="H5" i="4" s="1"/>
  <c r="G7" i="4"/>
  <c r="G4" i="3"/>
  <c r="G7" i="3" s="1"/>
  <c r="C13" i="3" s="1"/>
  <c r="C14" i="3" s="1"/>
  <c r="E35" i="2"/>
  <c r="E38" i="2"/>
  <c r="E45" i="2"/>
  <c r="E48" i="2"/>
  <c r="E16" i="2"/>
  <c r="E47" i="2"/>
  <c r="E43" i="2"/>
  <c r="E55" i="2"/>
  <c r="E51" i="2"/>
  <c r="E54" i="2"/>
  <c r="E50" i="2"/>
  <c r="E46" i="2"/>
  <c r="E42" i="2"/>
  <c r="E33" i="2"/>
  <c r="E36" i="2"/>
  <c r="E39" i="2"/>
  <c r="E49" i="2"/>
  <c r="E52" i="2"/>
  <c r="E20" i="2"/>
  <c r="E40" i="2"/>
  <c r="E53" i="2"/>
  <c r="D24" i="2"/>
  <c r="C29" i="2"/>
  <c r="E15" i="2" s="1"/>
  <c r="D34" i="2"/>
  <c r="D35" i="2"/>
  <c r="G33" i="2" s="1" a="1"/>
  <c r="G33" i="2" s="1"/>
  <c r="G34" i="2" s="1"/>
  <c r="G35" i="2" s="1"/>
  <c r="D36" i="2"/>
  <c r="D37" i="2"/>
  <c r="D38" i="2"/>
  <c r="D39" i="2"/>
  <c r="D40" i="2"/>
  <c r="D41" i="2"/>
  <c r="D45" i="2"/>
  <c r="D49" i="2"/>
  <c r="D53" i="2"/>
  <c r="D16" i="2"/>
  <c r="D20" i="2"/>
  <c r="D15" i="2"/>
  <c r="G5" i="2" s="1" a="1"/>
  <c r="G5" i="2" s="1"/>
  <c r="G6" i="2" s="1"/>
  <c r="G7" i="2" s="1"/>
  <c r="D19" i="2"/>
  <c r="D23" i="2"/>
  <c r="D27" i="2"/>
  <c r="D44" i="2"/>
  <c r="D48" i="2"/>
  <c r="D52" i="2"/>
  <c r="E29" i="8" l="1"/>
  <c r="G10" i="8" s="1"/>
  <c r="G11" i="8" s="1"/>
  <c r="G12" i="8" s="1"/>
  <c r="B9" i="5"/>
  <c r="C9" i="5" s="1"/>
  <c r="A10" i="5"/>
  <c r="D9" i="5"/>
  <c r="C8" i="5"/>
  <c r="H24" i="4"/>
  <c r="H27" i="4"/>
  <c r="H25" i="4"/>
  <c r="H15" i="4"/>
  <c r="H7" i="4"/>
  <c r="H8" i="4"/>
  <c r="H29" i="4" s="1"/>
  <c r="H34" i="4" s="1"/>
  <c r="H35" i="4" s="1"/>
  <c r="H21" i="4"/>
  <c r="H13" i="4"/>
  <c r="H20" i="4"/>
  <c r="E24" i="2"/>
  <c r="E25" i="2"/>
  <c r="E12" i="2"/>
  <c r="E10" i="2"/>
  <c r="E7" i="2"/>
  <c r="E26" i="2"/>
  <c r="E18" i="2"/>
  <c r="E14" i="2"/>
  <c r="E13" i="2"/>
  <c r="E11" i="2"/>
  <c r="E9" i="2"/>
  <c r="E6" i="2"/>
  <c r="E22" i="2"/>
  <c r="E5" i="2"/>
  <c r="E21" i="2"/>
  <c r="E17" i="2"/>
  <c r="E8" i="2"/>
  <c r="E57" i="2"/>
  <c r="G38" i="2" s="1"/>
  <c r="G39" i="2" s="1"/>
  <c r="G40" i="2" s="1"/>
  <c r="E27" i="2"/>
  <c r="E23" i="2"/>
  <c r="E19" i="2"/>
  <c r="B10" i="5" l="1"/>
  <c r="C10" i="5" s="1"/>
  <c r="A11" i="5"/>
  <c r="D10" i="5"/>
  <c r="E29" i="2"/>
  <c r="G10" i="2" s="1"/>
  <c r="G11" i="2" s="1"/>
  <c r="G12" i="2" s="1"/>
  <c r="B11" i="5" l="1"/>
  <c r="C11" i="5" s="1"/>
  <c r="A12" i="5"/>
  <c r="D11" i="5"/>
  <c r="B12" i="5" l="1"/>
  <c r="C12" i="5" s="1"/>
  <c r="A13" i="5"/>
  <c r="D12" i="5"/>
  <c r="B13" i="5" l="1"/>
  <c r="C13" i="5" s="1"/>
  <c r="A14" i="5"/>
  <c r="D13" i="5"/>
  <c r="B14" i="5" l="1"/>
  <c r="C14" i="5" s="1"/>
  <c r="A15" i="5"/>
  <c r="D14" i="5"/>
  <c r="B15" i="5" l="1"/>
  <c r="C15" i="5" s="1"/>
  <c r="A16" i="5"/>
  <c r="D15" i="5"/>
  <c r="B16" i="5" l="1"/>
  <c r="C16" i="5" s="1"/>
  <c r="A17" i="5"/>
  <c r="D16" i="5"/>
  <c r="B17" i="5" l="1"/>
  <c r="C17" i="5" s="1"/>
  <c r="A18" i="5"/>
  <c r="D17" i="5"/>
  <c r="B18" i="5" l="1"/>
  <c r="C18" i="5" s="1"/>
  <c r="A19" i="5"/>
  <c r="D18" i="5"/>
  <c r="B19" i="5" l="1"/>
  <c r="C19" i="5" s="1"/>
  <c r="A20" i="5"/>
  <c r="D19" i="5"/>
  <c r="B20" i="5" l="1"/>
  <c r="C20" i="5" s="1"/>
  <c r="A21" i="5"/>
  <c r="D20" i="5"/>
  <c r="B21" i="5" l="1"/>
  <c r="C21" i="5" s="1"/>
  <c r="A22" i="5"/>
  <c r="D21" i="5"/>
  <c r="B22" i="5" l="1"/>
  <c r="C22" i="5" s="1"/>
  <c r="A23" i="5"/>
  <c r="D22" i="5"/>
  <c r="B23" i="5" l="1"/>
  <c r="C23" i="5" s="1"/>
  <c r="A24" i="5"/>
  <c r="D23" i="5"/>
  <c r="C24" i="5" l="1"/>
  <c r="B24" i="5"/>
  <c r="A25" i="5"/>
  <c r="D24" i="5"/>
  <c r="B25" i="5" l="1"/>
  <c r="C25" i="5" s="1"/>
  <c r="A26" i="5"/>
  <c r="D25" i="5"/>
  <c r="B26" i="5" l="1"/>
  <c r="C26" i="5" s="1"/>
  <c r="D26" i="5"/>
</calcChain>
</file>

<file path=xl/sharedStrings.xml><?xml version="1.0" encoding="utf-8"?>
<sst xmlns="http://schemas.openxmlformats.org/spreadsheetml/2006/main" count="480" uniqueCount="346">
  <si>
    <t>Computing Variances and Standard Deviations of Returns: Real Price Data</t>
  </si>
  <si>
    <t>Returns are computed in the "Geometric Returns" Worksheet for GM and PCS from which to compute variances and standard deviations in Column G.</t>
  </si>
  <si>
    <t>GM Stock: October, 2000 to September 2002, Monthly Returns</t>
  </si>
  <si>
    <t>Date</t>
  </si>
  <si>
    <t>Close</t>
  </si>
  <si>
    <t>r(t)</t>
  </si>
  <si>
    <t>1+r(t)</t>
  </si>
  <si>
    <t>(Ri-E[Ri])^2 / 23</t>
  </si>
  <si>
    <t>PI(1+r(t))</t>
  </si>
  <si>
    <t>The product of (1+r(t)) for 24 months</t>
  </si>
  <si>
    <t>ROG(g)</t>
  </si>
  <si>
    <t>The geometric mean return over the 24 month period</t>
  </si>
  <si>
    <t>ROI(g)/Yr</t>
  </si>
  <si>
    <t>The annualized geometric mean rate of return</t>
  </si>
  <si>
    <t>VAR(GM)</t>
  </si>
  <si>
    <t>The monthly return variance</t>
  </si>
  <si>
    <t>StD(GM)</t>
  </si>
  <si>
    <t>The monthly return standard deviation</t>
  </si>
  <si>
    <t>The annual return standard deviation</t>
  </si>
  <si>
    <t>N/A</t>
  </si>
  <si>
    <t xml:space="preserve">    E[R] = </t>
  </si>
  <si>
    <t xml:space="preserve">    VAR =</t>
  </si>
  <si>
    <t>PCS Stock: October, 2000 to September 2002, Monthly Returns</t>
  </si>
  <si>
    <t>VAR(PCS)</t>
  </si>
  <si>
    <t>StD(PCS)</t>
  </si>
  <si>
    <t>Returns Covariance</t>
  </si>
  <si>
    <t xml:space="preserve">   Stocks A and B</t>
  </si>
  <si>
    <t xml:space="preserve"> i</t>
  </si>
  <si>
    <t xml:space="preserve">    R(A,i)</t>
  </si>
  <si>
    <t xml:space="preserve">   R(B,i)</t>
  </si>
  <si>
    <t xml:space="preserve">        P(i)</t>
  </si>
  <si>
    <t>(R(A,i)-E[R(A)])</t>
  </si>
  <si>
    <t>(R(B,i)-E[R(B)])</t>
  </si>
  <si>
    <t>Product of Deviations and Probability</t>
  </si>
  <si>
    <t>Covariance =</t>
  </si>
  <si>
    <t>E[R(A)] =</t>
  </si>
  <si>
    <t>E[R(B)] =</t>
  </si>
  <si>
    <t>s(A) =</t>
  </si>
  <si>
    <t>s(B) =</t>
  </si>
  <si>
    <t>r (A,B) =</t>
  </si>
  <si>
    <r>
      <t>r</t>
    </r>
    <r>
      <rPr>
        <b/>
        <vertAlign val="superscript"/>
        <sz val="10"/>
        <rFont val="Symbol"/>
        <family val="1"/>
        <charset val="2"/>
      </rPr>
      <t>2</t>
    </r>
    <r>
      <rPr>
        <b/>
        <sz val="10"/>
        <rFont val="Symbol"/>
        <family val="1"/>
        <charset val="2"/>
      </rPr>
      <t>(A,B) =</t>
    </r>
  </si>
  <si>
    <t>Computing Return Covariances: Real Price Data</t>
  </si>
  <si>
    <t>Returns are computed in the "Geometric Returns" Worksheet for GM and PCS from which to compute covariances and Corelation Coefficients in Column G.</t>
  </si>
  <si>
    <t>GM And PCS Stock: October 2000 to September 2002, Monthly Returns</t>
  </si>
  <si>
    <t>Close P(GM)</t>
  </si>
  <si>
    <t>r(t)GM</t>
  </si>
  <si>
    <t>(RiGM-E[RiGM])</t>
  </si>
  <si>
    <t>Close P(PCS)</t>
  </si>
  <si>
    <t>r(t)PCS</t>
  </si>
  <si>
    <t>(RiPCS-E[RiPCS])</t>
  </si>
  <si>
    <t xml:space="preserve">  COV[GM,PCS] =</t>
  </si>
  <si>
    <t>Covariance</t>
  </si>
  <si>
    <t xml:space="preserve">   VAR[GM] =</t>
  </si>
  <si>
    <t xml:space="preserve">   VAR[PCS] =</t>
  </si>
  <si>
    <t xml:space="preserve">   StD[GM] =</t>
  </si>
  <si>
    <t xml:space="preserve">   StD[PCS] =</t>
  </si>
  <si>
    <t>Corr.Coef[GM,PCS]=</t>
  </si>
  <si>
    <t>Correlation Coefficient</t>
  </si>
  <si>
    <t>r-square</t>
  </si>
  <si>
    <t>Structuring a Portfolio Possibilities Frontier</t>
  </si>
  <si>
    <t>Portfolio Inputs for a Two-Security Portfolio</t>
  </si>
  <si>
    <t>E[R1] =</t>
  </si>
  <si>
    <t>Sigma 1=</t>
  </si>
  <si>
    <t>Sigma1,2=</t>
  </si>
  <si>
    <t xml:space="preserve">Rf = </t>
  </si>
  <si>
    <t>E[R2] =</t>
  </si>
  <si>
    <t>Sigma 2=</t>
  </si>
  <si>
    <t>w1</t>
  </si>
  <si>
    <t>w2</t>
  </si>
  <si>
    <r>
      <t>s</t>
    </r>
    <r>
      <rPr>
        <b/>
        <sz val="10"/>
        <rFont val="Arial"/>
        <family val="2"/>
      </rPr>
      <t>p</t>
    </r>
  </si>
  <si>
    <t>E[Rp]</t>
  </si>
  <si>
    <t>Diversification and Risk Reduction</t>
  </si>
  <si>
    <t>This worksheet measures the impact of adding securities</t>
  </si>
  <si>
    <t>to a portfolio on the risk of the portfolio.  Assume that all</t>
  </si>
  <si>
    <t>security standard deviations are the same and all correlation</t>
  </si>
  <si>
    <t>coefficients between pairs of securities are the same.  Enter</t>
  </si>
  <si>
    <t xml:space="preserve">average values in the yellow area and look below to see the </t>
  </si>
  <si>
    <t>portfolio standard deviation as a function of the number of</t>
  </si>
  <si>
    <t>securities in the portfolio.</t>
  </si>
  <si>
    <t>Enter below averages for security:</t>
  </si>
  <si>
    <t>sigma</t>
  </si>
  <si>
    <t>rho</t>
  </si>
  <si>
    <t>Resulting portfolio standard deviation</t>
  </si>
  <si>
    <t># stocks</t>
  </si>
  <si>
    <t>St. Dev.</t>
  </si>
  <si>
    <t>% of diversifiable risk eliminated</t>
  </si>
  <si>
    <t>1 stock</t>
  </si>
  <si>
    <t>2 stocks</t>
  </si>
  <si>
    <t>3 stocks</t>
  </si>
  <si>
    <t>4 stocks</t>
  </si>
  <si>
    <t>5 stocks</t>
  </si>
  <si>
    <t>10 stocks</t>
  </si>
  <si>
    <t>20 stocks</t>
  </si>
  <si>
    <t>30 stocks</t>
  </si>
  <si>
    <t>50 stocks</t>
  </si>
  <si>
    <t>100 stocks</t>
  </si>
  <si>
    <t>1000 stocks</t>
  </si>
  <si>
    <t>99999 stocks</t>
  </si>
  <si>
    <t>9999999 stocks</t>
  </si>
  <si>
    <t>Or, enter number of stocks:</t>
  </si>
  <si>
    <t>= standard deviation</t>
  </si>
  <si>
    <t>= % of diversifiable risk eliminated</t>
  </si>
  <si>
    <t>Calculating the Market Portfolio, Efficient Frontier and Capital Market Line</t>
  </si>
  <si>
    <t>Portfolio Inputs</t>
  </si>
  <si>
    <t>System of Equations to Solve Simultaneously</t>
  </si>
  <si>
    <t>Coefficients Matrix to Invert; Variance-Covariance Matrix</t>
  </si>
  <si>
    <t>=z1</t>
  </si>
  <si>
    <t>Solving the system</t>
  </si>
  <si>
    <t>=z2</t>
  </si>
  <si>
    <t>=w1</t>
  </si>
  <si>
    <t>Obtaining weights from z-values</t>
  </si>
  <si>
    <t>=w2</t>
  </si>
  <si>
    <t>E[Rp] = w1E[R1} + w2E[R2] =</t>
  </si>
  <si>
    <t>Portfolio Return</t>
  </si>
  <si>
    <t xml:space="preserve">sigma p = </t>
  </si>
  <si>
    <t>Portfolio Risk</t>
  </si>
  <si>
    <t>Theta p =</t>
  </si>
  <si>
    <t>Slope of the CML</t>
  </si>
  <si>
    <t>Computing Variances and Standard Deviations of Returns</t>
  </si>
  <si>
    <r>
      <t xml:space="preserve">Portfolio Variance Matrices: w'Vw = </t>
    </r>
    <r>
      <rPr>
        <b/>
        <sz val="14"/>
        <rFont val="Symbol"/>
        <family val="1"/>
        <charset val="2"/>
      </rPr>
      <t>s</t>
    </r>
    <r>
      <rPr>
        <b/>
        <vertAlign val="superscript"/>
        <sz val="14"/>
        <rFont val="Arial"/>
        <family val="2"/>
      </rPr>
      <t>2</t>
    </r>
    <r>
      <rPr>
        <b/>
        <vertAlign val="subscript"/>
        <sz val="14"/>
        <rFont val="Arial"/>
        <family val="2"/>
      </rPr>
      <t>p</t>
    </r>
  </si>
  <si>
    <t>Assume three securities with w(1) =.2, w(2) = .3 and w(3) = .5. Security variances are .01, .04 and .09.</t>
  </si>
  <si>
    <t>Covariances are COV(1,2) = 0, COV(1,3) = .02 and COV(2,3) = .03.  Find portfolio standard deviation.</t>
  </si>
  <si>
    <t>Weights Vector</t>
  </si>
  <si>
    <t>Variance/Covariance Matrix</t>
  </si>
  <si>
    <t>These are the weights and</t>
  </si>
  <si>
    <t>variance/covariance matrices</t>
  </si>
  <si>
    <t>to be multiplied</t>
  </si>
  <si>
    <t xml:space="preserve">              w</t>
  </si>
  <si>
    <t xml:space="preserve">      V</t>
  </si>
  <si>
    <r>
      <t xml:space="preserve">First, multiply </t>
    </r>
    <r>
      <rPr>
        <b/>
        <sz val="10"/>
        <rFont val="Arial"/>
        <family val="2"/>
      </rPr>
      <t>w'V</t>
    </r>
  </si>
  <si>
    <t xml:space="preserve">      =</t>
  </si>
  <si>
    <t xml:space="preserve">   w'</t>
  </si>
  <si>
    <t xml:space="preserve">   w'V</t>
  </si>
  <si>
    <t xml:space="preserve">     V</t>
  </si>
  <si>
    <r>
      <t xml:space="preserve">Next, multiply </t>
    </r>
    <r>
      <rPr>
        <b/>
        <sz val="10"/>
        <rFont val="Arial"/>
        <family val="2"/>
      </rPr>
      <t>w'V</t>
    </r>
    <r>
      <rPr>
        <sz val="10"/>
        <rFont val="Arial"/>
        <family val="2"/>
      </rPr>
      <t xml:space="preserve"> by </t>
    </r>
    <r>
      <rPr>
        <b/>
        <sz val="10"/>
        <rFont val="Arial"/>
        <family val="2"/>
      </rPr>
      <t>w</t>
    </r>
  </si>
  <si>
    <t>Portfolio Variance</t>
  </si>
  <si>
    <t xml:space="preserve">       w</t>
  </si>
  <si>
    <t>Standard deviation is the square root of variance</t>
  </si>
  <si>
    <t>Portfolio Standard Deviation</t>
  </si>
  <si>
    <t>Portfolio Optimization Illustration</t>
  </si>
  <si>
    <t>An investor has $1,000,000 that she wishes to invest into a portfolio of three securities.</t>
  </si>
  <si>
    <t>The investor wishes to minimize her portfolio risk, but obtain an expected return of at</t>
  </si>
  <si>
    <t>least 10%. Based on this expected return and her desire to minimize portfolio risk,</t>
  </si>
  <si>
    <t>how much money should she invest in each of the three securities whose characteristics</t>
  </si>
  <si>
    <t>are given below?</t>
  </si>
  <si>
    <r>
      <t>E[R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] = .05</t>
    </r>
  </si>
  <si>
    <r>
      <t>E[R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] = .08</t>
    </r>
  </si>
  <si>
    <r>
      <t>E[R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] = .12</t>
    </r>
  </si>
  <si>
    <r>
      <t>σ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= 0</t>
    </r>
  </si>
  <si>
    <r>
      <t>σ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= .2</t>
    </r>
  </si>
  <si>
    <r>
      <t>σ</t>
    </r>
    <r>
      <rPr>
        <vertAlign val="sub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 xml:space="preserve"> = .4</t>
    </r>
  </si>
  <si>
    <r>
      <t>σ</t>
    </r>
    <r>
      <rPr>
        <vertAlign val="subscript"/>
        <sz val="11"/>
        <color indexed="8"/>
        <rFont val="Calibri"/>
        <family val="2"/>
      </rPr>
      <t>1,1</t>
    </r>
    <r>
      <rPr>
        <sz val="11"/>
        <color indexed="8"/>
        <rFont val="Calibri"/>
        <family val="2"/>
      </rPr>
      <t xml:space="preserve"> = 0</t>
    </r>
  </si>
  <si>
    <r>
      <t>σ</t>
    </r>
    <r>
      <rPr>
        <vertAlign val="subscript"/>
        <sz val="11"/>
        <color indexed="8"/>
        <rFont val="Calibri"/>
        <family val="2"/>
      </rPr>
      <t>1,2</t>
    </r>
    <r>
      <rPr>
        <sz val="11"/>
        <color indexed="8"/>
        <rFont val="Calibri"/>
        <family val="2"/>
      </rPr>
      <t xml:space="preserve"> = 0</t>
    </r>
  </si>
  <si>
    <r>
      <t>σ</t>
    </r>
    <r>
      <rPr>
        <vertAlign val="subscript"/>
        <sz val="11"/>
        <color indexed="8"/>
        <rFont val="Calibri"/>
        <family val="2"/>
      </rPr>
      <t>2,3</t>
    </r>
    <r>
      <rPr>
        <sz val="11"/>
        <color indexed="8"/>
        <rFont val="Calibri"/>
        <family val="2"/>
      </rPr>
      <t xml:space="preserve"> = .04</t>
    </r>
  </si>
  <si>
    <r>
      <t>r</t>
    </r>
    <r>
      <rPr>
        <vertAlign val="subscript"/>
        <sz val="11"/>
        <color indexed="8"/>
        <rFont val="Calibri"/>
        <family val="2"/>
      </rPr>
      <t>p</t>
    </r>
    <r>
      <rPr>
        <sz val="11"/>
        <color indexed="8"/>
        <rFont val="Calibri"/>
        <family val="2"/>
      </rPr>
      <t xml:space="preserve"> = .10</t>
    </r>
  </si>
  <si>
    <t>Wealth = $1,000,000</t>
  </si>
  <si>
    <t>Solution</t>
  </si>
  <si>
    <t>The investor's solution technique will be to set up a LaGrange function to minimize risk</t>
  </si>
  <si>
    <t>subject to two constraints: the weights should sum to 1 and the expected portfolio return</t>
  </si>
  <si>
    <t>needs to be 10%. Our LaGrange function would be as follows:</t>
  </si>
  <si>
    <r>
      <t>L = 0w</t>
    </r>
    <r>
      <rPr>
        <vertAlign val="subscript"/>
        <sz val="11"/>
        <color indexed="8"/>
        <rFont val="Times New Roman"/>
        <family val="1"/>
      </rPr>
      <t>1</t>
    </r>
    <r>
      <rPr>
        <vertAlign val="super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 xml:space="preserve"> + .04w</t>
    </r>
    <r>
      <rPr>
        <vertAlign val="subscript"/>
        <sz val="11"/>
        <color indexed="8"/>
        <rFont val="Times New Roman"/>
        <family val="1"/>
      </rPr>
      <t>2</t>
    </r>
    <r>
      <rPr>
        <vertAlign val="super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 xml:space="preserve"> + .16w</t>
    </r>
    <r>
      <rPr>
        <vertAlign val="subscript"/>
        <sz val="11"/>
        <color indexed="8"/>
        <rFont val="Times New Roman"/>
        <family val="1"/>
      </rPr>
      <t>3</t>
    </r>
    <r>
      <rPr>
        <vertAlign val="super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 xml:space="preserve"> + 0w</t>
    </r>
    <r>
      <rPr>
        <vertAlign val="subscript"/>
        <sz val="11"/>
        <color indexed="8"/>
        <rFont val="Times New Roman"/>
        <family val="1"/>
      </rPr>
      <t>1</t>
    </r>
    <r>
      <rPr>
        <sz val="11"/>
        <color indexed="8"/>
        <rFont val="Times New Roman"/>
        <family val="1"/>
      </rPr>
      <t>w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 xml:space="preserve"> + 0w</t>
    </r>
    <r>
      <rPr>
        <vertAlign val="subscript"/>
        <sz val="11"/>
        <color indexed="8"/>
        <rFont val="Times New Roman"/>
        <family val="1"/>
      </rPr>
      <t>1</t>
    </r>
    <r>
      <rPr>
        <sz val="11"/>
        <color indexed="8"/>
        <rFont val="Times New Roman"/>
        <family val="1"/>
      </rPr>
      <t>w</t>
    </r>
    <r>
      <rPr>
        <vertAlign val="subscript"/>
        <sz val="11"/>
        <color indexed="8"/>
        <rFont val="Times New Roman"/>
        <family val="1"/>
      </rPr>
      <t>3</t>
    </r>
    <r>
      <rPr>
        <sz val="11"/>
        <color indexed="8"/>
        <rFont val="Times New Roman"/>
        <family val="1"/>
      </rPr>
      <t xml:space="preserve"> + .08w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>w</t>
    </r>
    <r>
      <rPr>
        <vertAlign val="subscript"/>
        <sz val="11"/>
        <color indexed="8"/>
        <rFont val="Times New Roman"/>
        <family val="1"/>
      </rPr>
      <t>3</t>
    </r>
    <r>
      <rPr>
        <sz val="11"/>
        <color indexed="8"/>
        <rFont val="Times New Roman"/>
        <family val="1"/>
      </rPr>
      <t xml:space="preserve"> + </t>
    </r>
    <r>
      <rPr>
        <sz val="11"/>
        <color indexed="8"/>
        <rFont val="Calibri"/>
        <family val="2"/>
      </rPr>
      <t>λ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(1 - w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- w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- w</t>
    </r>
    <r>
      <rPr>
        <vertAlign val="sub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>) + λ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(.10 - .05w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- .08w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- .12w</t>
    </r>
    <r>
      <rPr>
        <vertAlign val="sub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>)</t>
    </r>
  </si>
  <si>
    <t>which results in the following system of linear equations:</t>
  </si>
  <si>
    <r>
      <t>δL/δw</t>
    </r>
    <r>
      <rPr>
        <vertAlign val="subscript"/>
        <sz val="11"/>
        <color indexed="8"/>
        <rFont val="Times New Roman"/>
        <family val="1"/>
      </rPr>
      <t>1</t>
    </r>
    <r>
      <rPr>
        <sz val="11"/>
        <color indexed="8"/>
        <rFont val="Times New Roman"/>
        <family val="1"/>
      </rPr>
      <t xml:space="preserve"> = </t>
    </r>
  </si>
  <si>
    <r>
      <t xml:space="preserve">                                       - </t>
    </r>
    <r>
      <rPr>
        <sz val="11"/>
        <color indexed="8"/>
        <rFont val="Calibri"/>
        <family val="2"/>
      </rPr>
      <t>λ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   -.05λ</t>
    </r>
    <r>
      <rPr>
        <vertAlign val="subscript"/>
        <sz val="11"/>
        <color indexed="8"/>
        <rFont val="Calibri"/>
        <family val="2"/>
      </rPr>
      <t>2</t>
    </r>
  </si>
  <si>
    <t>= 0</t>
  </si>
  <si>
    <r>
      <t>δL/δw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 xml:space="preserve"> = </t>
    </r>
  </si>
  <si>
    <r>
      <t xml:space="preserve">              .08w</t>
    </r>
    <r>
      <rPr>
        <vertAlign val="subscript"/>
        <sz val="11"/>
        <color indexed="8"/>
        <rFont val="Times New Roman"/>
        <family val="1"/>
      </rPr>
      <t xml:space="preserve">2 </t>
    </r>
    <r>
      <rPr>
        <sz val="11"/>
        <color indexed="8"/>
        <rFont val="Times New Roman"/>
        <family val="1"/>
      </rPr>
      <t xml:space="preserve">  + .08w</t>
    </r>
    <r>
      <rPr>
        <vertAlign val="subscript"/>
        <sz val="11"/>
        <color indexed="8"/>
        <rFont val="Times New Roman"/>
        <family val="1"/>
      </rPr>
      <t>3</t>
    </r>
    <r>
      <rPr>
        <sz val="11"/>
        <color indexed="8"/>
        <rFont val="Times New Roman"/>
        <family val="1"/>
      </rPr>
      <t xml:space="preserve"> - </t>
    </r>
    <r>
      <rPr>
        <sz val="11"/>
        <color indexed="8"/>
        <rFont val="Calibri"/>
        <family val="2"/>
      </rPr>
      <t>λ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  - .08λ</t>
    </r>
    <r>
      <rPr>
        <vertAlign val="subscript"/>
        <sz val="11"/>
        <color indexed="8"/>
        <rFont val="Calibri"/>
        <family val="2"/>
      </rPr>
      <t>2</t>
    </r>
  </si>
  <si>
    <r>
      <t>δL/δw</t>
    </r>
    <r>
      <rPr>
        <vertAlign val="subscript"/>
        <sz val="11"/>
        <color indexed="8"/>
        <rFont val="Times New Roman"/>
        <family val="1"/>
      </rPr>
      <t>3</t>
    </r>
    <r>
      <rPr>
        <sz val="11"/>
        <color indexed="8"/>
        <rFont val="Times New Roman"/>
        <family val="1"/>
      </rPr>
      <t xml:space="preserve"> = </t>
    </r>
  </si>
  <si>
    <r>
      <t xml:space="preserve">              .08w</t>
    </r>
    <r>
      <rPr>
        <vertAlign val="subscript"/>
        <sz val="11"/>
        <color indexed="8"/>
        <rFont val="Times New Roman"/>
        <family val="1"/>
      </rPr>
      <t xml:space="preserve">2 </t>
    </r>
    <r>
      <rPr>
        <sz val="11"/>
        <color indexed="8"/>
        <rFont val="Times New Roman"/>
        <family val="1"/>
      </rPr>
      <t xml:space="preserve">  + .32w</t>
    </r>
    <r>
      <rPr>
        <vertAlign val="subscript"/>
        <sz val="11"/>
        <color indexed="8"/>
        <rFont val="Times New Roman"/>
        <family val="1"/>
      </rPr>
      <t>3</t>
    </r>
    <r>
      <rPr>
        <sz val="11"/>
        <color indexed="8"/>
        <rFont val="Times New Roman"/>
        <family val="1"/>
      </rPr>
      <t xml:space="preserve"> - </t>
    </r>
    <r>
      <rPr>
        <sz val="11"/>
        <color indexed="8"/>
        <rFont val="Calibri"/>
        <family val="2"/>
      </rPr>
      <t>λ</t>
    </r>
    <r>
      <rPr>
        <vertAlign val="sub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 xml:space="preserve">   - .12λ</t>
    </r>
    <r>
      <rPr>
        <vertAlign val="subscript"/>
        <sz val="11"/>
        <color indexed="8"/>
        <rFont val="Calibri"/>
        <family val="2"/>
      </rPr>
      <t>2</t>
    </r>
  </si>
  <si>
    <r>
      <t>δL/δ</t>
    </r>
    <r>
      <rPr>
        <sz val="11"/>
        <color indexed="8"/>
        <rFont val="Calibri"/>
        <family val="2"/>
      </rPr>
      <t>λ</t>
    </r>
    <r>
      <rPr>
        <vertAlign val="subscript"/>
        <sz val="11"/>
        <color indexed="8"/>
        <rFont val="Times New Roman"/>
        <family val="1"/>
      </rPr>
      <t>1</t>
    </r>
    <r>
      <rPr>
        <sz val="11"/>
        <color indexed="8"/>
        <rFont val="Times New Roman"/>
        <family val="1"/>
      </rPr>
      <t xml:space="preserve"> = </t>
    </r>
  </si>
  <si>
    <r>
      <t xml:space="preserve">  -1w</t>
    </r>
    <r>
      <rPr>
        <vertAlign val="subscript"/>
        <sz val="11"/>
        <color indexed="8"/>
        <rFont val="Times New Roman"/>
        <family val="1"/>
      </rPr>
      <t xml:space="preserve">1      </t>
    </r>
    <r>
      <rPr>
        <sz val="11"/>
        <color indexed="8"/>
        <rFont val="Times New Roman"/>
        <family val="1"/>
      </rPr>
      <t>- 1w</t>
    </r>
    <r>
      <rPr>
        <vertAlign val="subscript"/>
        <sz val="11"/>
        <color indexed="8"/>
        <rFont val="Times New Roman"/>
        <family val="1"/>
      </rPr>
      <t xml:space="preserve">2 </t>
    </r>
    <r>
      <rPr>
        <sz val="11"/>
        <color indexed="8"/>
        <rFont val="Times New Roman"/>
        <family val="1"/>
      </rPr>
      <t xml:space="preserve">    - 1w</t>
    </r>
    <r>
      <rPr>
        <vertAlign val="subscript"/>
        <sz val="11"/>
        <color indexed="8"/>
        <rFont val="Times New Roman"/>
        <family val="1"/>
      </rPr>
      <t>3</t>
    </r>
  </si>
  <si>
    <t>= -1</t>
  </si>
  <si>
    <r>
      <t>δL/δ</t>
    </r>
    <r>
      <rPr>
        <sz val="11"/>
        <color indexed="8"/>
        <rFont val="Calibri"/>
        <family val="2"/>
      </rPr>
      <t>λ</t>
    </r>
    <r>
      <rPr>
        <vertAlign val="subscript"/>
        <sz val="11"/>
        <color indexed="8"/>
        <rFont val="Times New Roman"/>
        <family val="1"/>
      </rPr>
      <t>2</t>
    </r>
    <r>
      <rPr>
        <sz val="11"/>
        <color indexed="8"/>
        <rFont val="Times New Roman"/>
        <family val="1"/>
      </rPr>
      <t xml:space="preserve"> = </t>
    </r>
  </si>
  <si>
    <r>
      <t>-.05w</t>
    </r>
    <r>
      <rPr>
        <vertAlign val="subscript"/>
        <sz val="11"/>
        <color indexed="8"/>
        <rFont val="Times New Roman"/>
        <family val="1"/>
      </rPr>
      <t xml:space="preserve">1     </t>
    </r>
    <r>
      <rPr>
        <sz val="11"/>
        <color indexed="8"/>
        <rFont val="Times New Roman"/>
        <family val="1"/>
      </rPr>
      <t>- .08w</t>
    </r>
    <r>
      <rPr>
        <vertAlign val="subscript"/>
        <sz val="11"/>
        <color indexed="8"/>
        <rFont val="Times New Roman"/>
        <family val="1"/>
      </rPr>
      <t xml:space="preserve">2 </t>
    </r>
    <r>
      <rPr>
        <sz val="11"/>
        <color indexed="8"/>
        <rFont val="Times New Roman"/>
        <family val="1"/>
      </rPr>
      <t xml:space="preserve"> - .12w</t>
    </r>
    <r>
      <rPr>
        <vertAlign val="subscript"/>
        <sz val="11"/>
        <color indexed="8"/>
        <rFont val="Times New Roman"/>
        <family val="1"/>
      </rPr>
      <t>3</t>
    </r>
  </si>
  <si>
    <t>= -.10</t>
  </si>
  <si>
    <t>Our coefficients matrix is as follows:</t>
  </si>
  <si>
    <t>We invert the coefficients matrix and use it to premultiply the solutions vector</t>
  </si>
  <si>
    <t>as follows:</t>
  </si>
  <si>
    <r>
      <t>= w</t>
    </r>
    <r>
      <rPr>
        <vertAlign val="subscript"/>
        <sz val="11"/>
        <color indexed="8"/>
        <rFont val="Calibri"/>
        <family val="2"/>
      </rPr>
      <t>1</t>
    </r>
  </si>
  <si>
    <r>
      <t>= w</t>
    </r>
    <r>
      <rPr>
        <vertAlign val="subscript"/>
        <sz val="11"/>
        <color indexed="8"/>
        <rFont val="Calibri"/>
        <family val="2"/>
      </rPr>
      <t>2</t>
    </r>
  </si>
  <si>
    <r>
      <t>= w</t>
    </r>
    <r>
      <rPr>
        <vertAlign val="subscript"/>
        <sz val="11"/>
        <color indexed="8"/>
        <rFont val="Calibri"/>
        <family val="2"/>
      </rPr>
      <t>3</t>
    </r>
  </si>
  <si>
    <r>
      <t xml:space="preserve">= </t>
    </r>
    <r>
      <rPr>
        <sz val="11"/>
        <color indexed="8"/>
        <rFont val="Calibri"/>
        <family val="2"/>
      </rPr>
      <t>λ</t>
    </r>
    <r>
      <rPr>
        <vertAlign val="subscript"/>
        <sz val="11"/>
        <color indexed="8"/>
        <rFont val="Calibri"/>
        <family val="2"/>
      </rPr>
      <t>1</t>
    </r>
  </si>
  <si>
    <r>
      <t xml:space="preserve">= </t>
    </r>
    <r>
      <rPr>
        <sz val="11"/>
        <color indexed="8"/>
        <rFont val="Calibri"/>
        <family val="2"/>
      </rPr>
      <t>λ</t>
    </r>
    <r>
      <rPr>
        <vertAlign val="subscript"/>
        <sz val="11"/>
        <color indexed="8"/>
        <rFont val="Calibri"/>
        <family val="2"/>
      </rPr>
      <t>2</t>
    </r>
  </si>
  <si>
    <t>The following is an alternative procedure not necessary for the course:</t>
  </si>
  <si>
    <t>.13-.03 = .64z1 + (-.2)z2</t>
  </si>
  <si>
    <t>.07-.03 = (-.2)z1+.64  z2</t>
  </si>
  <si>
    <t>Portfolio Optimization Problem</t>
  </si>
  <si>
    <t>The following problem was presented during the April 23rd review session as an example of a particularly</t>
  </si>
  <si>
    <t>difficult exam question.</t>
  </si>
  <si>
    <t>An investor with $100,000 has the opportunity to invest in any combination of the securities given in the table</t>
  </si>
  <si>
    <t>below: He wishes to select the most efficient portfolio of these four assets such that his portfolio standard deviation</t>
  </si>
  <si>
    <t>equals .10.</t>
  </si>
  <si>
    <t>SECURITY(i)  E[R]    COV(i,1)   COV(i,2)   COV(i,3)   COV(i,4)</t>
  </si>
  <si>
    <t xml:space="preserve">                                                            </t>
  </si>
  <si>
    <t xml:space="preserve">                                                                 </t>
  </si>
  <si>
    <t xml:space="preserve">                                                       </t>
  </si>
  <si>
    <t xml:space="preserve">       a. How much should the investor invest in each security?</t>
  </si>
  <si>
    <t xml:space="preserve">       b. Assuming that the four securities above are the only ones available in the market, what is the Beta of</t>
  </si>
  <si>
    <t xml:space="preserve">     Security 3?</t>
  </si>
  <si>
    <t>Try to do the problem first. If you cannot, scroll down for a hint. If you still cannot, scroll down further for the solution.</t>
  </si>
  <si>
    <t>Scroll further for hints</t>
  </si>
  <si>
    <t>Hint part a: Asset 1 is riskless. Start by finding the optimal portfolio of stocks.</t>
  </si>
  <si>
    <t>Hint part b: Refer to the covariance simplification in the Capital Asset Pricing Model derivation in the Coursepack.</t>
  </si>
  <si>
    <t>Scroll down further for the solution.</t>
  </si>
  <si>
    <t>Scroll further for solution</t>
  </si>
  <si>
    <t>This problem may be regarded as being a bit more difficult than the others. For part a, first,</t>
  </si>
  <si>
    <t>note that Security 1 is the riskless asset. We will first find the weights of the optimal portfolio of</t>
  </si>
  <si>
    <t>stocks and then find the optimal combination of stocks and bonds. We begin by solving the</t>
  </si>
  <si>
    <t>following for z(2), z(3) and z(4):</t>
  </si>
  <si>
    <t>.10z(2) + .01z(3) + .02z(4) = (.10 -.05)</t>
  </si>
  <si>
    <t>.01z(2) + .20z(3) +   0 z(4) = (.15 -.05)</t>
  </si>
  <si>
    <t>.01z(2) +   0 z(3) + .30z(4) = (.20 - .05)</t>
  </si>
  <si>
    <t>To solve the system, we first set up the covariance matrix to invert:</t>
  </si>
  <si>
    <t>We find our inverse matrix:</t>
  </si>
  <si>
    <t>We multiply our inverse by the risk premiums vector to determine the appropriate z values.</t>
  </si>
  <si>
    <t>We find that z(2) =  0.403361, z(3) = 0.479832 and z(4) = 0.486555. This implies that for the</t>
  </si>
  <si>
    <t>optimal portfolio of stocks (the market portfolio), w(2) = 0.294479, w(3) = 0.350307 and w(4) =</t>
  </si>
  <si>
    <t>0.355215. Now, the investor needs to determine the optimal mix of stocks and bonds. First,</t>
  </si>
  <si>
    <t>compute the standard deviation of the three-stock portfolio:</t>
  </si>
  <si>
    <t>= σm = 0.274268</t>
  </si>
  <si>
    <t>Any portfolio on the Capital Market Line must be a linear combination of riskless bonds and the</t>
  </si>
  <si>
    <t>market portfolio of stocks. Our target portfolio with a standard deviation equal to .10 must be a</t>
  </si>
  <si>
    <t>linear combination of the standard deviations of the riskless asset and of the market portfolio of</t>
  </si>
  <si>
    <t>stocks:</t>
  </si>
  <si>
    <t>σp = .10 = [wrf^2σrf^2 + wm^2σm^2 + 2wrfwmσrf,m]^.5 = [0 + wm^2.*.2742682 + 0]^.5</t>
  </si>
  <si>
    <t xml:space="preserve">                    wm = .10/.274268 = .364606</t>
  </si>
  <si>
    <t>Thus, 36.4606% of the investors money should be invested in the stock portfolio and the</t>
  </si>
  <si>
    <t>remaining $63,539.4 in riskless bonds. Thus, of the $36,460.6 in stocks, $10,736.9 should be</t>
  </si>
  <si>
    <t>invested in Stock 2, $12,772.4 in Stock 3 and $12,951.4 in Stock 4. For part b (which is a bit</t>
  </si>
  <si>
    <t>more difficult still), we know from the derivation of the Capital Asset Pricing Model that:</t>
  </si>
  <si>
    <t>This implies that:</t>
  </si>
  <si>
    <t xml:space="preserve">      σ3,m = .294479*.01 + .350307*.2 + 355215*0 = .0730187</t>
  </si>
  <si>
    <t>Since the variance of the market is its standard deviation squared = .075223 and the beta of an</t>
  </si>
  <si>
    <t>asset equals its covariance with the market divided by the market variance, the beta of Security 3</t>
  </si>
  <si>
    <t>is determined to be:</t>
  </si>
  <si>
    <t xml:space="preserve">            β3 = σ3,m/σm2 = .0730187/.075223 = .97069</t>
  </si>
  <si>
    <t>The formatting of subscripts and superscripts may not be apparent on this spreadsheet. For clarification,</t>
  </si>
  <si>
    <t>look at Problem 5 on the Additional Problems web page for the course to see a better printing.</t>
  </si>
  <si>
    <t>Arbitrage Pricing Theory: Small Market Derivation Example</t>
  </si>
  <si>
    <t>Arbitrage Pricing Theory holds that security returns may be expressed as linear combinations of risk factors, these factors</t>
  </si>
  <si>
    <t>may be replicated with basis portfolios and that the security risk structures may be replicated with these basis portfolios.</t>
  </si>
  <si>
    <t>Therefore, to avoid arbitrage opportunities, security return structures must be linear combinations of the risk factors.</t>
  </si>
  <si>
    <t>Suppose we have a sample of five securities whose expected returns we believe can be expressed as a function of the</t>
  </si>
  <si>
    <t>riskless return rate, two risk factors and firm-specific risk. Suppose that the weights, unit, beta 1, beta 2, firm specific returns,</t>
  </si>
  <si>
    <t>risk factor and expected return vectors for this set of five securities are as follows:</t>
  </si>
  <si>
    <t>b11</t>
  </si>
  <si>
    <t>b21</t>
  </si>
  <si>
    <t>e1</t>
  </si>
  <si>
    <t>f0</t>
  </si>
  <si>
    <t>r1</t>
  </si>
  <si>
    <t>b12</t>
  </si>
  <si>
    <t>b22</t>
  </si>
  <si>
    <t>e2</t>
  </si>
  <si>
    <t>f1</t>
  </si>
  <si>
    <t>r2</t>
  </si>
  <si>
    <t>w3</t>
  </si>
  <si>
    <t>b13</t>
  </si>
  <si>
    <t>b23</t>
  </si>
  <si>
    <t>e3</t>
  </si>
  <si>
    <t>f2</t>
  </si>
  <si>
    <t>r3</t>
  </si>
  <si>
    <t>w4</t>
  </si>
  <si>
    <t>b14</t>
  </si>
  <si>
    <t>b24</t>
  </si>
  <si>
    <t>e4</t>
  </si>
  <si>
    <t>r4</t>
  </si>
  <si>
    <t>w5</t>
  </si>
  <si>
    <t>b15</t>
  </si>
  <si>
    <t>b25</t>
  </si>
  <si>
    <t>e5</t>
  </si>
  <si>
    <t>r5</t>
  </si>
  <si>
    <t>w</t>
  </si>
  <si>
    <t xml:space="preserve">             i</t>
  </si>
  <si>
    <t>b1</t>
  </si>
  <si>
    <t>b2</t>
  </si>
  <si>
    <t>e</t>
  </si>
  <si>
    <t>f</t>
  </si>
  <si>
    <t>r</t>
  </si>
  <si>
    <t>Suppose that the unit vector, beta vectors and factor vector are given as follows where f0 is the riskless return:</t>
  </si>
  <si>
    <t>Values for these vectors are given below:</t>
  </si>
  <si>
    <t xml:space="preserve">           b1</t>
  </si>
  <si>
    <t xml:space="preserve">          b2</t>
  </si>
  <si>
    <t xml:space="preserve">          e</t>
  </si>
  <si>
    <t xml:space="preserve">          f</t>
  </si>
  <si>
    <t>Let us assume that the factors are known. Betas are the security sensitivities to these vectors.</t>
  </si>
  <si>
    <t>Now, set the following assumptions:</t>
  </si>
  <si>
    <t>1.  We can devise weights to create an arbitrage portfolio defined as follows:</t>
  </si>
  <si>
    <r>
      <t>w</t>
    </r>
    <r>
      <rPr>
        <b/>
        <vertAlign val="superscript"/>
        <sz val="10"/>
        <rFont val="Arial"/>
        <family val="2"/>
      </rPr>
      <t>T</t>
    </r>
    <r>
      <rPr>
        <b/>
        <sz val="10"/>
        <rFont val="Arial"/>
        <family val="2"/>
      </rPr>
      <t>i</t>
    </r>
  </si>
  <si>
    <t>=0</t>
  </si>
  <si>
    <r>
      <t>Zero net investment (where</t>
    </r>
    <r>
      <rPr>
        <b/>
        <sz val="10"/>
        <rFont val="Arial"/>
        <family val="2"/>
      </rPr>
      <t xml:space="preserve"> i</t>
    </r>
    <r>
      <rPr>
        <sz val="10"/>
        <rFont val="Arial"/>
        <family val="2"/>
      </rPr>
      <t xml:space="preserve"> is the unit vector)</t>
    </r>
    <r>
      <rPr>
        <b/>
        <sz val="10"/>
        <rFont val="Arial"/>
        <family val="2"/>
      </rPr>
      <t xml:space="preserve"> </t>
    </r>
  </si>
  <si>
    <r>
      <t>w</t>
    </r>
    <r>
      <rPr>
        <b/>
        <vertAlign val="superscript"/>
        <sz val="10"/>
        <rFont val="Arial"/>
        <family val="2"/>
      </rPr>
      <t>T</t>
    </r>
    <r>
      <rPr>
        <b/>
        <sz val="10"/>
        <rFont val="Arial"/>
        <family val="2"/>
      </rPr>
      <t>e</t>
    </r>
  </si>
  <si>
    <t>Zero firm-specific risk</t>
  </si>
  <si>
    <r>
      <t>w</t>
    </r>
    <r>
      <rPr>
        <b/>
        <vertAlign val="superscript"/>
        <sz val="10"/>
        <rFont val="Arial"/>
        <family val="2"/>
      </rPr>
      <t>T</t>
    </r>
    <r>
      <rPr>
        <b/>
        <sz val="10"/>
        <rFont val="Arial"/>
        <family val="2"/>
      </rPr>
      <t>b1</t>
    </r>
  </si>
  <si>
    <t>Zero sensitivity to risk factor 1</t>
  </si>
  <si>
    <r>
      <t>w</t>
    </r>
    <r>
      <rPr>
        <b/>
        <vertAlign val="superscript"/>
        <sz val="10"/>
        <rFont val="Arial"/>
        <family val="2"/>
      </rPr>
      <t>T</t>
    </r>
    <r>
      <rPr>
        <b/>
        <sz val="10"/>
        <rFont val="Arial"/>
        <family val="2"/>
      </rPr>
      <t>b2</t>
    </r>
  </si>
  <si>
    <t>Zero sensitivity to risk factor 2</t>
  </si>
  <si>
    <t>Thus, we will define a weights vector that is consistent with the arbitrage portfolio above:</t>
  </si>
  <si>
    <t xml:space="preserve">     w1 =</t>
  </si>
  <si>
    <t xml:space="preserve">     w2 =</t>
  </si>
  <si>
    <t xml:space="preserve">     w3 =</t>
  </si>
  <si>
    <t xml:space="preserve">     w4 =</t>
  </si>
  <si>
    <t xml:space="preserve">     w5 =</t>
  </si>
  <si>
    <t xml:space="preserve">           w</t>
  </si>
  <si>
    <t>Which satisfies the conditions for an arbitrage portfolio:</t>
  </si>
  <si>
    <t xml:space="preserve">   =</t>
  </si>
  <si>
    <r>
      <t xml:space="preserve">         w</t>
    </r>
    <r>
      <rPr>
        <b/>
        <vertAlign val="superscript"/>
        <sz val="10"/>
        <rFont val="Arial"/>
        <family val="2"/>
      </rPr>
      <t>T</t>
    </r>
  </si>
  <si>
    <t xml:space="preserve">           [I,e,b1,b2]</t>
  </si>
  <si>
    <t xml:space="preserve">    [0]</t>
  </si>
  <si>
    <t>2.  The return on an arbitrage portfolio must be zero.</t>
  </si>
  <si>
    <r>
      <t>w</t>
    </r>
    <r>
      <rPr>
        <b/>
        <vertAlign val="superscript"/>
        <sz val="10"/>
        <rFont val="Arial"/>
        <family val="2"/>
      </rPr>
      <t>T</t>
    </r>
    <r>
      <rPr>
        <b/>
        <sz val="10"/>
        <rFont val="Arial"/>
        <family val="2"/>
      </rPr>
      <t>r</t>
    </r>
  </si>
  <si>
    <r>
      <t>w</t>
    </r>
    <r>
      <rPr>
        <b/>
        <vertAlign val="superscript"/>
        <sz val="10"/>
        <rFont val="Arial"/>
        <family val="2"/>
      </rPr>
      <t>T</t>
    </r>
  </si>
  <si>
    <t>Since Assumption 1 implies Assumption 2, we must be able to express the expected return of any security</t>
  </si>
  <si>
    <t>in this market as a linear combination of i, b1, b2 and e:</t>
  </si>
  <si>
    <t>r(i) = f0 + b1if1 + b2if2 + ei</t>
  </si>
  <si>
    <t>This statement is the Arbitrage Pricing Theory.</t>
  </si>
  <si>
    <t>This is identical to stating that returns must be a linear combination of factors f0, f1, f2 and e.</t>
  </si>
  <si>
    <t>In matrix format, the system of expected returns can be expressed as follows:</t>
  </si>
  <si>
    <r>
      <t>r</t>
    </r>
    <r>
      <rPr>
        <sz val="10"/>
        <rFont val="Arial"/>
        <family val="2"/>
      </rPr>
      <t xml:space="preserve"> =  f0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+ </t>
    </r>
    <r>
      <rPr>
        <b/>
        <sz val="10"/>
        <rFont val="Arial"/>
        <family val="2"/>
      </rPr>
      <t>Bf</t>
    </r>
    <r>
      <rPr>
        <sz val="10"/>
        <rFont val="Arial"/>
        <family val="2"/>
      </rPr>
      <t xml:space="preserve"> + </t>
    </r>
    <r>
      <rPr>
        <b/>
        <sz val="10"/>
        <rFont val="Arial"/>
        <family val="2"/>
      </rPr>
      <t>e</t>
    </r>
  </si>
  <si>
    <t xml:space="preserve">   +</t>
  </si>
  <si>
    <t xml:space="preserve">  +</t>
  </si>
  <si>
    <t>Or, in expected return form ignoring unsystematic returns:</t>
  </si>
  <si>
    <r>
      <t>Er</t>
    </r>
    <r>
      <rPr>
        <sz val="10"/>
        <rFont val="Arial"/>
        <family val="2"/>
      </rPr>
      <t xml:space="preserve"> = rf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 + </t>
    </r>
    <r>
      <rPr>
        <b/>
        <sz val="10"/>
        <rFont val="Arial"/>
        <family val="2"/>
      </rPr>
      <t>Bf</t>
    </r>
    <r>
      <rPr>
        <sz val="10"/>
        <rFont val="Arial"/>
        <family val="2"/>
      </rPr>
      <t xml:space="preserve"> </t>
    </r>
  </si>
  <si>
    <r>
      <t xml:space="preserve">where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 xml:space="preserve"> is an nXm matrix comprised of m nX1 column beta vectors and </t>
    </r>
    <r>
      <rPr>
        <b/>
        <sz val="10"/>
        <rFont val="Arial"/>
        <family val="2"/>
      </rPr>
      <t>Er</t>
    </r>
    <r>
      <rPr>
        <sz val="10"/>
        <rFont val="Arial"/>
        <family val="2"/>
      </rPr>
      <t xml:space="preserve"> is the expected return vector.</t>
    </r>
  </si>
  <si>
    <t xml:space="preserve">     i</t>
  </si>
  <si>
    <t xml:space="preserve">     B</t>
  </si>
  <si>
    <t>Why? The only way that Assumption 1 can imply Assumption 2 is if security returns are a linear</t>
  </si>
  <si>
    <t>combination of the following vectors:</t>
  </si>
  <si>
    <t xml:space="preserve">     the unit vector, the beta vectors and the unsystematic returns vector.</t>
  </si>
  <si>
    <t>Otherwise, there is no basis for claiming that Assumption 1 can imply Assumption 2. The following</t>
  </si>
  <si>
    <t>serve as the coefficients for the vectors:</t>
  </si>
  <si>
    <t xml:space="preserve">     the riskless return rate, risk factor 1, risk factor 2 and one</t>
  </si>
  <si>
    <t>Hence, one can also state that security returns must be a linear combination of these coefficients. This</t>
  </si>
  <si>
    <t>is the Arbitrage Pricing Theory. These risk factors can be replicated with combinations of securities</t>
  </si>
  <si>
    <t>known as basis portfolios such that the security return structure can be replicated with basis portfolios.</t>
  </si>
  <si>
    <t xml:space="preserve">         f0</t>
  </si>
  <si>
    <t xml:space="preserve">               B</t>
  </si>
  <si>
    <t xml:space="preserve">    r</t>
  </si>
  <si>
    <t>We can express this system slightly differently as follows:</t>
  </si>
  <si>
    <t xml:space="preserve">      X</t>
  </si>
  <si>
    <t xml:space="preserve">    =</t>
  </si>
  <si>
    <t xml:space="preserve">          [i,B,e]</t>
  </si>
  <si>
    <t xml:space="preserve">       [rf,f,1]</t>
  </si>
  <si>
    <t xml:space="preserve">          r</t>
  </si>
  <si>
    <t>Hence, security returns are a linear combination of factors.  Portfolios can be created and combined</t>
  </si>
  <si>
    <t>to replicate risk factors.  Such portfolios are called basis portfolios if they have unit sensitivity to a</t>
  </si>
  <si>
    <t>single risk factor and are orthogonal to all other risk factors.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</si>
</sst>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Symbol"/>
      <family val="1"/>
      <charset val="2"/>
    </font>
    <font>
      <b/>
      <sz val="12"/>
      <name val="Symbol"/>
      <family val="1"/>
      <charset val="2"/>
    </font>
    <font>
      <b/>
      <sz val="12"/>
      <name val="Arial"/>
      <family val="2"/>
    </font>
    <font>
      <b/>
      <sz val="14"/>
      <name val="Symbol"/>
      <family val="1"/>
      <charset val="2"/>
    </font>
    <font>
      <b/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sz val="14"/>
      <name val="Arial"/>
      <family val="2"/>
    </font>
    <font>
      <sz val="10"/>
      <name val="Symbol"/>
      <family val="1"/>
      <charset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indexed="8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color indexed="8"/>
      <name val="Times New Roman"/>
      <family val="1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0">
    <xf numFmtId="0" fontId="0" fillId="0" borderId="0" xfId="0"/>
    <xf numFmtId="0" fontId="3" fillId="0" borderId="0" xfId="1" applyFont="1"/>
    <xf numFmtId="0" fontId="2" fillId="0" borderId="0" xfId="1"/>
    <xf numFmtId="0" fontId="4" fillId="2" borderId="0" xfId="1" applyFont="1" applyFill="1"/>
    <xf numFmtId="0" fontId="2" fillId="2" borderId="0" xfId="1" applyFill="1"/>
    <xf numFmtId="0" fontId="5" fillId="0" borderId="0" xfId="1" applyFont="1"/>
    <xf numFmtId="15" fontId="2" fillId="0" borderId="0" xfId="1" applyNumberFormat="1"/>
    <xf numFmtId="0" fontId="6" fillId="0" borderId="0" xfId="1" applyFont="1"/>
    <xf numFmtId="0" fontId="2" fillId="0" borderId="0" xfId="1" quotePrefix="1"/>
    <xf numFmtId="0" fontId="2" fillId="3" borderId="0" xfId="1" applyFill="1"/>
    <xf numFmtId="0" fontId="3" fillId="3" borderId="0" xfId="1" applyFont="1" applyFill="1"/>
    <xf numFmtId="0" fontId="7" fillId="0" borderId="0" xfId="1" quotePrefix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2" fillId="2" borderId="0" xfId="1" quotePrefix="1" applyFill="1"/>
    <xf numFmtId="0" fontId="6" fillId="2" borderId="0" xfId="1" applyFont="1" applyFill="1"/>
    <xf numFmtId="0" fontId="11" fillId="2" borderId="0" xfId="1" applyFont="1" applyFill="1"/>
    <xf numFmtId="0" fontId="12" fillId="0" borderId="0" xfId="1" applyFont="1"/>
    <xf numFmtId="0" fontId="11" fillId="0" borderId="0" xfId="1" applyFont="1"/>
    <xf numFmtId="0" fontId="6" fillId="0" borderId="0" xfId="1" quotePrefix="1" applyFont="1"/>
    <xf numFmtId="0" fontId="3" fillId="4" borderId="0" xfId="2" applyFont="1" applyFill="1"/>
    <xf numFmtId="0" fontId="4" fillId="4" borderId="0" xfId="2" applyFill="1"/>
    <xf numFmtId="0" fontId="4" fillId="0" borderId="0" xfId="2"/>
    <xf numFmtId="0" fontId="6" fillId="0" borderId="0" xfId="2" applyFont="1"/>
    <xf numFmtId="0" fontId="16" fillId="0" borderId="0" xfId="2" applyFont="1"/>
    <xf numFmtId="0" fontId="3" fillId="0" borderId="0" xfId="2" applyFont="1"/>
    <xf numFmtId="0" fontId="17" fillId="0" borderId="0" xfId="2" applyFont="1"/>
    <xf numFmtId="0" fontId="18" fillId="4" borderId="0" xfId="3" applyFont="1" applyFill="1"/>
    <xf numFmtId="0" fontId="1" fillId="4" borderId="0" xfId="3" applyFill="1"/>
    <xf numFmtId="0" fontId="1" fillId="0" borderId="0" xfId="3"/>
    <xf numFmtId="0" fontId="19" fillId="0" borderId="0" xfId="3" applyFont="1"/>
    <xf numFmtId="0" fontId="20" fillId="0" borderId="0" xfId="3" applyFont="1"/>
    <xf numFmtId="0" fontId="23" fillId="4" borderId="0" xfId="3" applyFont="1" applyFill="1"/>
    <xf numFmtId="0" fontId="20" fillId="4" borderId="0" xfId="3" applyFont="1" applyFill="1"/>
    <xf numFmtId="0" fontId="24" fillId="0" borderId="0" xfId="3" applyFont="1"/>
    <xf numFmtId="0" fontId="24" fillId="0" borderId="0" xfId="3" quotePrefix="1" applyFont="1"/>
    <xf numFmtId="0" fontId="1" fillId="0" borderId="0" xfId="3" quotePrefix="1"/>
    <xf numFmtId="0" fontId="2" fillId="5" borderId="1" xfId="1" applyFill="1" applyBorder="1" applyProtection="1">
      <protection locked="0"/>
    </xf>
    <xf numFmtId="0" fontId="2" fillId="5" borderId="1" xfId="1" applyFill="1" applyBorder="1"/>
    <xf numFmtId="0" fontId="2" fillId="5" borderId="0" xfId="1" applyFill="1"/>
    <xf numFmtId="0" fontId="2" fillId="5" borderId="0" xfId="1" applyFill="1" applyProtection="1">
      <protection locked="0"/>
    </xf>
    <xf numFmtId="0" fontId="2" fillId="6" borderId="0" xfId="1" applyFill="1"/>
    <xf numFmtId="0" fontId="2" fillId="7" borderId="0" xfId="1" applyFill="1"/>
    <xf numFmtId="0" fontId="28" fillId="0" borderId="0" xfId="4" applyAlignment="1" applyProtection="1"/>
    <xf numFmtId="0" fontId="3" fillId="4" borderId="0" xfId="5" applyFont="1" applyFill="1"/>
    <xf numFmtId="0" fontId="4" fillId="4" borderId="0" xfId="5" applyFill="1"/>
    <xf numFmtId="0" fontId="4" fillId="0" borderId="0" xfId="5"/>
    <xf numFmtId="0" fontId="6" fillId="0" borderId="0" xfId="5" applyFont="1"/>
    <xf numFmtId="0" fontId="4" fillId="0" borderId="0" xfId="5" quotePrefix="1"/>
  </cellXfs>
  <cellStyles count="6">
    <cellStyle name="Hyperlink 2" xfId="4" xr:uid="{25353C1E-A42F-4F8E-B659-E48F137B1CF3}"/>
    <cellStyle name="Normal" xfId="0" builtinId="0"/>
    <cellStyle name="Normal 11" xfId="2" xr:uid="{0AFC10F6-5DCA-4AC9-A06F-2B1E7A2349F6}"/>
    <cellStyle name="Normal 2" xfId="1" xr:uid="{091FA800-2343-4E97-9BE1-BEF64624C55A}"/>
    <cellStyle name="Normal 2 2" xfId="5" xr:uid="{9EBD0BB6-99B4-492A-9A1B-8757C1654043}"/>
    <cellStyle name="Normal 3" xfId="3" xr:uid="{50FFD9F6-902F-4A66-8F1D-A291EB8D54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Portfolio Possibilities Frontier</a:t>
            </a:r>
          </a:p>
        </c:rich>
      </c:tx>
      <c:layout>
        <c:manualLayout>
          <c:xMode val="edge"/>
          <c:yMode val="edge"/>
          <c:x val="0.36743215031315241"/>
          <c:y val="1.8461538461538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15448851774544"/>
          <c:y val="0.13230789108757676"/>
          <c:w val="0.76826722338204589"/>
          <c:h val="0.710770298633262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'Portfolio Possibility Frontier'!$C$7:$C$27</c:f>
              <c:numCache>
                <c:formatCode>General</c:formatCode>
                <c:ptCount val="21"/>
                <c:pt idx="0">
                  <c:v>0.2</c:v>
                </c:pt>
                <c:pt idx="1">
                  <c:v>0.17691806012954134</c:v>
                </c:pt>
                <c:pt idx="2">
                  <c:v>0.15874507866387544</c:v>
                </c:pt>
                <c:pt idx="3">
                  <c:v>0.14730919862656236</c:v>
                </c:pt>
                <c:pt idx="4">
                  <c:v>0.14422205101855959</c:v>
                </c:pt>
                <c:pt idx="5">
                  <c:v>0.15000000000000008</c:v>
                </c:pt>
                <c:pt idx="6">
                  <c:v>0.16370705543744909</c:v>
                </c:pt>
                <c:pt idx="7">
                  <c:v>0.18357559750685837</c:v>
                </c:pt>
                <c:pt idx="8">
                  <c:v>0.20784609690826544</c:v>
                </c:pt>
                <c:pt idx="9">
                  <c:v>0.23515952032609716</c:v>
                </c:pt>
                <c:pt idx="10">
                  <c:v>0.26457513110645936</c:v>
                </c:pt>
                <c:pt idx="11">
                  <c:v>0.29546573405388338</c:v>
                </c:pt>
                <c:pt idx="12">
                  <c:v>0.32741411087489819</c:v>
                </c:pt>
                <c:pt idx="13">
                  <c:v>0.36013886210738238</c:v>
                </c:pt>
                <c:pt idx="14">
                  <c:v>0.39344631145812031</c:v>
                </c:pt>
                <c:pt idx="15">
                  <c:v>0.42720018726587677</c:v>
                </c:pt>
                <c:pt idx="16">
                  <c:v>0.46130250378683202</c:v>
                </c:pt>
                <c:pt idx="17">
                  <c:v>0.49568134925574936</c:v>
                </c:pt>
                <c:pt idx="18">
                  <c:v>0.53028294334251425</c:v>
                </c:pt>
                <c:pt idx="19">
                  <c:v>0.56506636778346686</c:v>
                </c:pt>
                <c:pt idx="20">
                  <c:v>0.6</c:v>
                </c:pt>
              </c:numCache>
            </c:numRef>
          </c:xVal>
          <c:yVal>
            <c:numRef>
              <c:f>'Portfolio Possibility Frontier'!$D$7:$D$27</c:f>
              <c:numCache>
                <c:formatCode>General</c:formatCode>
                <c:ptCount val="21"/>
                <c:pt idx="0">
                  <c:v>7.0000000000000007E-2</c:v>
                </c:pt>
                <c:pt idx="1">
                  <c:v>7.2000000000000008E-2</c:v>
                </c:pt>
                <c:pt idx="2">
                  <c:v>7.400000000000001E-2</c:v>
                </c:pt>
                <c:pt idx="3">
                  <c:v>7.6000000000000012E-2</c:v>
                </c:pt>
                <c:pt idx="4">
                  <c:v>7.8000000000000014E-2</c:v>
                </c:pt>
                <c:pt idx="5">
                  <c:v>8.0000000000000016E-2</c:v>
                </c:pt>
                <c:pt idx="6">
                  <c:v>8.2000000000000017E-2</c:v>
                </c:pt>
                <c:pt idx="7">
                  <c:v>8.4000000000000019E-2</c:v>
                </c:pt>
                <c:pt idx="8">
                  <c:v>8.6000000000000021E-2</c:v>
                </c:pt>
                <c:pt idx="9">
                  <c:v>8.8000000000000023E-2</c:v>
                </c:pt>
                <c:pt idx="10">
                  <c:v>9.0000000000000024E-2</c:v>
                </c:pt>
                <c:pt idx="11">
                  <c:v>9.2000000000000026E-2</c:v>
                </c:pt>
                <c:pt idx="12">
                  <c:v>9.4E-2</c:v>
                </c:pt>
                <c:pt idx="13">
                  <c:v>9.6000000000000016E-2</c:v>
                </c:pt>
                <c:pt idx="14">
                  <c:v>9.8000000000000018E-2</c:v>
                </c:pt>
                <c:pt idx="15">
                  <c:v>0.1</c:v>
                </c:pt>
                <c:pt idx="16">
                  <c:v>0.10200000000000002</c:v>
                </c:pt>
                <c:pt idx="17">
                  <c:v>0.10400000000000002</c:v>
                </c:pt>
                <c:pt idx="18">
                  <c:v>0.10600000000000002</c:v>
                </c:pt>
                <c:pt idx="19">
                  <c:v>0.10800000000000001</c:v>
                </c:pt>
                <c:pt idx="20">
                  <c:v>0.11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45-4FDF-95F3-0A834B90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94208"/>
        <c:axId val="44096896"/>
      </c:scatterChart>
      <c:valAx>
        <c:axId val="4409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59916492693110646"/>
              <c:y val="0.898462830607712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96896"/>
        <c:crosses val="autoZero"/>
        <c:crossBetween val="midCat"/>
      </c:valAx>
      <c:valAx>
        <c:axId val="4409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
Return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4.92307692307692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942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Diversification and Risk</a:t>
            </a:r>
          </a:p>
        </c:rich>
      </c:tx>
      <c:layout>
        <c:manualLayout>
          <c:xMode val="edge"/>
          <c:yMode val="edge"/>
          <c:x val="0.31444759206798895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3456090651529"/>
          <c:y val="0.17241427693481989"/>
          <c:w val="0.76770538243626063"/>
          <c:h val="0.69540425030377473"/>
        </c:manualLayout>
      </c:layout>
      <c:lineChart>
        <c:grouping val="standard"/>
        <c:varyColors val="0"/>
        <c:ser>
          <c:idx val="1"/>
          <c:order val="0"/>
          <c:val>
            <c:numRef>
              <c:f>'Diversification and Risk'!$B$16:$B$25</c:f>
            </c:numRef>
          </c:val>
          <c:smooth val="0"/>
          <c:extLst>
            <c:ext xmlns:c16="http://schemas.microsoft.com/office/drawing/2014/chart" uri="{C3380CC4-5D6E-409C-BE32-E72D297353CC}">
              <c16:uniqueId val="{00000000-6DF5-485E-9D82-E922258885E9}"/>
            </c:ext>
          </c:extLst>
        </c:ser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'Diversification and Risk'!$C$16:$C$25</c:f>
              <c:numCache>
                <c:formatCode>General</c:formatCode>
                <c:ptCount val="10"/>
                <c:pt idx="0">
                  <c:v>0.4</c:v>
                </c:pt>
                <c:pt idx="1">
                  <c:v>0.33466401061363027</c:v>
                </c:pt>
                <c:pt idx="2">
                  <c:v>0.30983866768962204</c:v>
                </c:pt>
                <c:pt idx="3">
                  <c:v>0.29664793948382656</c:v>
                </c:pt>
                <c:pt idx="4">
                  <c:v>0.28844410203711918</c:v>
                </c:pt>
                <c:pt idx="5">
                  <c:v>0.27129319932501073</c:v>
                </c:pt>
                <c:pt idx="6">
                  <c:v>0.26229754097208008</c:v>
                </c:pt>
                <c:pt idx="7">
                  <c:v>0.25922962793631443</c:v>
                </c:pt>
                <c:pt idx="8">
                  <c:v>0.25674890457409943</c:v>
                </c:pt>
                <c:pt idx="9">
                  <c:v>0.25487251715318388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5-485E-9D82-E92225888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48320"/>
        <c:axId val="192567488"/>
      </c:lineChart>
      <c:catAx>
        <c:axId val="20344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Securities</a:t>
                </a:r>
              </a:p>
            </c:rich>
          </c:tx>
          <c:layout>
            <c:manualLayout>
              <c:xMode val="edge"/>
              <c:yMode val="edge"/>
              <c:x val="0.40509915014164305"/>
              <c:y val="0.8965541376293481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2567488"/>
        <c:crosses val="autoZero"/>
        <c:auto val="1"/>
        <c:lblAlgn val="ctr"/>
        <c:lblOffset val="100"/>
        <c:tickMarkSkip val="1"/>
        <c:noMultiLvlLbl val="0"/>
      </c:catAx>
      <c:valAx>
        <c:axId val="19256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Portfolio Standard Deviation</a:t>
                </a:r>
              </a:p>
            </c:rich>
          </c:tx>
          <c:layout>
            <c:manualLayout>
              <c:xMode val="edge"/>
              <c:yMode val="edge"/>
              <c:x val="4.5325779036827246E-2"/>
              <c:y val="0.29597791655353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448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Optimal Portfolio Given Riskless Return: CML</a:t>
            </a:r>
          </a:p>
        </c:rich>
      </c:tx>
      <c:layout>
        <c:manualLayout>
          <c:xMode val="edge"/>
          <c:yMode val="edge"/>
          <c:x val="0.1487606197985581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18992174027704E-2"/>
          <c:y val="0.12537313432835817"/>
          <c:w val="0.87052575791407905"/>
          <c:h val="0.7791044776119410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'Efficient Frontier'!$M$8:$M$9</c:f>
              <c:numCache>
                <c:formatCode>General</c:formatCode>
                <c:ptCount val="2"/>
                <c:pt idx="0">
                  <c:v>0</c:v>
                </c:pt>
                <c:pt idx="1">
                  <c:v>0.25584173010761385</c:v>
                </c:pt>
              </c:numCache>
            </c:numRef>
          </c:xVal>
          <c:yVal>
            <c:numRef>
              <c:f>'Efficient Frontier'!$L$8:$L$9</c:f>
              <c:numCache>
                <c:formatCode>General</c:formatCode>
                <c:ptCount val="2"/>
                <c:pt idx="0">
                  <c:v>0.03</c:v>
                </c:pt>
                <c:pt idx="1">
                  <c:v>8.6293929712460055E-2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21-4ABE-8E89-117F70886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565184"/>
        <c:axId val="192565760"/>
      </c:scatterChart>
      <c:valAx>
        <c:axId val="19256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58953312654099999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565760"/>
        <c:crosses val="autoZero"/>
        <c:crossBetween val="midCat"/>
      </c:valAx>
      <c:valAx>
        <c:axId val="1925657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E[Rp]</a:t>
                </a:r>
              </a:p>
            </c:rich>
          </c:tx>
          <c:layout>
            <c:manualLayout>
              <c:xMode val="edge"/>
              <c:yMode val="edge"/>
              <c:x val="1.3774104683195601E-2"/>
              <c:y val="0.46567164179104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2565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57150</xdr:rowOff>
    </xdr:from>
    <xdr:to>
      <xdr:col>12</xdr:col>
      <xdr:colOff>333375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E2553-CDDD-4B19-BB0B-EF6698B55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8</xdr:row>
      <xdr:rowOff>9525</xdr:rowOff>
    </xdr:from>
    <xdr:to>
      <xdr:col>11</xdr:col>
      <xdr:colOff>600075</xdr:colOff>
      <xdr:row>28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5901A0-53E6-470E-9577-DAA962796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9</xdr:col>
          <xdr:colOff>238125</xdr:colOff>
          <xdr:row>120</xdr:row>
          <xdr:rowOff>47625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</xdr:row>
      <xdr:rowOff>95250</xdr:rowOff>
    </xdr:from>
    <xdr:to>
      <xdr:col>14</xdr:col>
      <xdr:colOff>495300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4933A9-336F-4BFC-94CB-1BA55B1DB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301LectureSpreadshee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003LectureSpread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ar Loan Example"/>
      <sheetName val="Saving for a House"/>
      <sheetName val="FVA Due"/>
      <sheetName val="Bond Valuation"/>
      <sheetName val="Lottery PVA"/>
      <sheetName val="Mortgage Amortization"/>
      <sheetName val="Sally Mae PV"/>
      <sheetName val="PV Growing Perpetuity"/>
      <sheetName val="Geometric Returns"/>
      <sheetName val="IRR"/>
      <sheetName val="Yield To Maturity"/>
      <sheetName val="Expected Return and Variance"/>
      <sheetName val="Covariance"/>
      <sheetName val="Standard Deviation of Returns"/>
      <sheetName val="Covariance of Returns"/>
      <sheetName val="Portfolio Possibility Frontier"/>
      <sheetName val="Be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G10">
            <v>1.2060595701261263E-2</v>
          </cell>
        </row>
        <row r="11">
          <cell r="G11">
            <v>0.10982074349257186</v>
          </cell>
        </row>
        <row r="38">
          <cell r="G38">
            <v>6.3410123637947832E-2</v>
          </cell>
        </row>
        <row r="39">
          <cell r="G39">
            <v>0.25181366848911885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FVA Due"/>
      <sheetName val="Saving for a House"/>
      <sheetName val="Bond Valuation"/>
      <sheetName val="Lottery PVA"/>
      <sheetName val="Mortgage Amortization"/>
      <sheetName val="Sally Mae PV"/>
      <sheetName val="PV Growing Perpetuity"/>
      <sheetName val="College Savings"/>
      <sheetName val="Geometric Expansions"/>
      <sheetName val="NAV and Fund Returns"/>
      <sheetName val="Geometric Returns"/>
      <sheetName val="IRR"/>
      <sheetName val="Yield To Maturity"/>
      <sheetName val="Exp. Return &amp; Variance"/>
      <sheetName val="ReturnStandardDeviation"/>
      <sheetName val="Covariance"/>
      <sheetName val="Returns Covariance"/>
      <sheetName val="Portfolio Possibility Frontier"/>
      <sheetName val="Diversification and Risk"/>
      <sheetName val="Efficient Frontier"/>
      <sheetName val="Beta"/>
      <sheetName val="Replacement Decision"/>
      <sheetName val="DOL and DFL 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C7">
            <v>0.2</v>
          </cell>
        </row>
      </sheetData>
      <sheetData sheetId="19">
        <row r="16">
          <cell r="B16">
            <v>1</v>
          </cell>
        </row>
        <row r="17">
          <cell r="B17">
            <v>2</v>
          </cell>
        </row>
        <row r="18">
          <cell r="B18">
            <v>3</v>
          </cell>
        </row>
        <row r="19">
          <cell r="B19">
            <v>4</v>
          </cell>
        </row>
        <row r="20">
          <cell r="B20">
            <v>5</v>
          </cell>
        </row>
        <row r="21">
          <cell r="B21">
            <v>10</v>
          </cell>
        </row>
        <row r="22">
          <cell r="B22">
            <v>20</v>
          </cell>
        </row>
        <row r="23">
          <cell r="B23">
            <v>30</v>
          </cell>
        </row>
        <row r="24">
          <cell r="B24">
            <v>50</v>
          </cell>
        </row>
        <row r="25">
          <cell r="B25">
            <v>100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ebpage.pace.edu/jteall/351Extra_Problems.pdf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7834-5F06-4169-875C-13FCB5EBF92A}">
  <dimension ref="A1:M57"/>
  <sheetViews>
    <sheetView tabSelected="1" workbookViewId="0">
      <selection activeCell="A2" sqref="A2"/>
    </sheetView>
  </sheetViews>
  <sheetFormatPr defaultRowHeight="12.75" x14ac:dyDescent="0.2"/>
  <cols>
    <col min="1" max="4" width="9.140625" style="2"/>
    <col min="5" max="5" width="14" style="2" customWidth="1"/>
    <col min="6" max="16384" width="9.140625" style="2"/>
  </cols>
  <sheetData>
    <row r="1" spans="1:13" ht="18" x14ac:dyDescent="0.25">
      <c r="A1" s="1" t="s">
        <v>0</v>
      </c>
    </row>
    <row r="2" spans="1:13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x14ac:dyDescent="0.25">
      <c r="A3" s="5" t="s">
        <v>2</v>
      </c>
    </row>
    <row r="4" spans="1:13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13" x14ac:dyDescent="0.2">
      <c r="A5" s="6">
        <v>37502</v>
      </c>
      <c r="B5" s="2">
        <v>38.9</v>
      </c>
      <c r="C5" s="2">
        <f t="shared" ref="C5:C27" si="0">(B5-B6)/B6</f>
        <v>-0.18721270371918097</v>
      </c>
      <c r="D5" s="2">
        <f t="shared" ref="D5:D28" si="1">C5+1</f>
        <v>0.81278729628081903</v>
      </c>
      <c r="E5" s="2">
        <f t="shared" ref="E5:E27" si="2">((C5-C$29)^2)/23</f>
        <v>1.3477174581011705E-3</v>
      </c>
      <c r="F5" s="2" t="s">
        <v>8</v>
      </c>
      <c r="G5" s="7">
        <f t="array" ref="G5">PRODUCT(D5:D27)</f>
        <v>0.66758194611292254</v>
      </c>
      <c r="H5" s="2" t="s">
        <v>9</v>
      </c>
    </row>
    <row r="6" spans="1:13" x14ac:dyDescent="0.2">
      <c r="A6" s="6">
        <v>37469</v>
      </c>
      <c r="B6" s="2">
        <v>47.86</v>
      </c>
      <c r="C6" s="2">
        <f t="shared" si="0"/>
        <v>2.8141783029001124E-2</v>
      </c>
      <c r="D6" s="2">
        <f t="shared" si="1"/>
        <v>1.0281417830290012</v>
      </c>
      <c r="E6" s="2">
        <f t="shared" si="2"/>
        <v>6.7129232145356947E-5</v>
      </c>
      <c r="F6" s="2" t="s">
        <v>10</v>
      </c>
      <c r="G6" s="7">
        <f>G5^(1/24)-1</f>
        <v>-1.6696260086148329E-2</v>
      </c>
      <c r="H6" s="2" t="s">
        <v>11</v>
      </c>
    </row>
    <row r="7" spans="1:13" x14ac:dyDescent="0.2">
      <c r="A7" s="6">
        <v>37438</v>
      </c>
      <c r="B7" s="2">
        <v>46.55</v>
      </c>
      <c r="C7" s="2">
        <f t="shared" si="0"/>
        <v>-0.12909260991580926</v>
      </c>
      <c r="D7" s="2">
        <f t="shared" si="1"/>
        <v>0.87090739008419071</v>
      </c>
      <c r="E7" s="2">
        <f t="shared" si="2"/>
        <v>6.0478585425328035E-4</v>
      </c>
      <c r="F7" s="2" t="s">
        <v>12</v>
      </c>
      <c r="G7" s="7">
        <f>(1+G6)^12-1</f>
        <v>-0.18294311941400165</v>
      </c>
      <c r="H7" s="2" t="s">
        <v>13</v>
      </c>
    </row>
    <row r="8" spans="1:13" x14ac:dyDescent="0.2">
      <c r="A8" s="6">
        <v>37410</v>
      </c>
      <c r="B8" s="2">
        <v>53.45</v>
      </c>
      <c r="C8" s="2">
        <f t="shared" si="0"/>
        <v>-0.13998390989541426</v>
      </c>
      <c r="D8" s="2">
        <f t="shared" si="1"/>
        <v>0.86001609010458568</v>
      </c>
      <c r="E8" s="2">
        <f t="shared" si="2"/>
        <v>7.2164157558866372E-4</v>
      </c>
      <c r="F8" s="2" t="s">
        <v>10</v>
      </c>
      <c r="G8" s="7">
        <f>(B5/B28)^(1/24)-1</f>
        <v>-1.6696260086148329E-2</v>
      </c>
      <c r="H8" s="2" t="s">
        <v>11</v>
      </c>
    </row>
    <row r="9" spans="1:13" x14ac:dyDescent="0.2">
      <c r="A9" s="6">
        <v>37377</v>
      </c>
      <c r="B9" s="2">
        <v>62.15</v>
      </c>
      <c r="C9" s="2">
        <f t="shared" si="0"/>
        <v>-2.4026381909547756E-2</v>
      </c>
      <c r="D9" s="2">
        <f t="shared" si="1"/>
        <v>0.97597361809045224</v>
      </c>
      <c r="E9" s="2">
        <f t="shared" si="2"/>
        <v>7.2069228820943436E-6</v>
      </c>
      <c r="F9" s="2" t="s">
        <v>12</v>
      </c>
      <c r="G9" s="7">
        <f>(1+G8)^12-1</f>
        <v>-0.18294311941400165</v>
      </c>
      <c r="H9" s="2" t="s">
        <v>13</v>
      </c>
    </row>
    <row r="10" spans="1:13" x14ac:dyDescent="0.2">
      <c r="A10" s="6">
        <v>37347</v>
      </c>
      <c r="B10" s="2">
        <v>63.68</v>
      </c>
      <c r="C10" s="2">
        <f t="shared" si="0"/>
        <v>6.1156473921013192E-2</v>
      </c>
      <c r="D10" s="2">
        <f t="shared" si="1"/>
        <v>1.0611564739210131</v>
      </c>
      <c r="E10" s="2">
        <f t="shared" si="2"/>
        <v>2.2732443266563904E-4</v>
      </c>
      <c r="F10" s="2" t="s">
        <v>14</v>
      </c>
      <c r="G10" s="7">
        <f>E29</f>
        <v>1.2060595701261263E-2</v>
      </c>
      <c r="H10" s="2" t="s">
        <v>15</v>
      </c>
    </row>
    <row r="11" spans="1:13" x14ac:dyDescent="0.2">
      <c r="A11" s="6">
        <v>37316</v>
      </c>
      <c r="B11" s="2">
        <v>60.01</v>
      </c>
      <c r="C11" s="2">
        <f t="shared" si="0"/>
        <v>0.14109146225518149</v>
      </c>
      <c r="D11" s="2">
        <f t="shared" si="1"/>
        <v>1.1410914622551815</v>
      </c>
      <c r="E11" s="2">
        <f t="shared" si="2"/>
        <v>1.0077373592574817E-3</v>
      </c>
      <c r="F11" s="2" t="s">
        <v>16</v>
      </c>
      <c r="G11" s="7">
        <f>G10^0.5</f>
        <v>0.10982074349257186</v>
      </c>
      <c r="H11" s="2" t="s">
        <v>17</v>
      </c>
    </row>
    <row r="12" spans="1:13" x14ac:dyDescent="0.2">
      <c r="A12" s="6">
        <v>37288</v>
      </c>
      <c r="B12" s="2">
        <v>52.59</v>
      </c>
      <c r="C12" s="2">
        <f t="shared" si="0"/>
        <v>4.6567164179104545E-2</v>
      </c>
      <c r="D12" s="2">
        <f t="shared" si="1"/>
        <v>1.0465671641791046</v>
      </c>
      <c r="E12" s="2">
        <f t="shared" si="2"/>
        <v>1.44846054274451E-4</v>
      </c>
      <c r="F12" s="2" t="s">
        <v>16</v>
      </c>
      <c r="G12" s="7">
        <f>G11*12^0.5</f>
        <v>0.38043021490824719</v>
      </c>
      <c r="H12" s="2" t="s">
        <v>18</v>
      </c>
    </row>
    <row r="13" spans="1:13" x14ac:dyDescent="0.2">
      <c r="A13" s="6">
        <v>37258</v>
      </c>
      <c r="B13" s="2">
        <v>50.25</v>
      </c>
      <c r="C13" s="2">
        <f t="shared" si="0"/>
        <v>5.2135678391959844E-2</v>
      </c>
      <c r="D13" s="2">
        <f t="shared" si="1"/>
        <v>1.0521356783919598</v>
      </c>
      <c r="E13" s="2">
        <f t="shared" si="2"/>
        <v>1.7414275890603699E-4</v>
      </c>
    </row>
    <row r="14" spans="1:13" x14ac:dyDescent="0.2">
      <c r="A14" s="6">
        <v>37228</v>
      </c>
      <c r="B14" s="2">
        <v>47.76</v>
      </c>
      <c r="C14" s="2">
        <f t="shared" si="0"/>
        <v>-2.2113022113022223E-2</v>
      </c>
      <c r="D14" s="2">
        <f t="shared" si="1"/>
        <v>0.97788697788697776</v>
      </c>
      <c r="E14" s="2">
        <f t="shared" si="2"/>
        <v>5.2240047027541098E-6</v>
      </c>
    </row>
    <row r="15" spans="1:13" x14ac:dyDescent="0.2">
      <c r="A15" s="6">
        <v>37196</v>
      </c>
      <c r="B15" s="2">
        <v>48.84</v>
      </c>
      <c r="C15" s="2">
        <f t="shared" si="0"/>
        <v>0.21704460503364068</v>
      </c>
      <c r="D15" s="2">
        <f t="shared" si="1"/>
        <v>1.2170446050336408</v>
      </c>
      <c r="E15" s="2">
        <f t="shared" si="2"/>
        <v>2.2640661682019796E-3</v>
      </c>
    </row>
    <row r="16" spans="1:13" x14ac:dyDescent="0.2">
      <c r="A16" s="6">
        <v>37165</v>
      </c>
      <c r="B16" s="2">
        <v>40.130000000000003</v>
      </c>
      <c r="C16" s="2">
        <f t="shared" si="0"/>
        <v>-3.6725876140182287E-2</v>
      </c>
      <c r="D16" s="2">
        <f t="shared" si="1"/>
        <v>0.9632741238598177</v>
      </c>
      <c r="E16" s="2">
        <f t="shared" si="2"/>
        <v>2.843661064749275E-5</v>
      </c>
    </row>
    <row r="17" spans="1:5" x14ac:dyDescent="0.2">
      <c r="A17" s="6">
        <v>37138</v>
      </c>
      <c r="B17" s="2">
        <v>41.66</v>
      </c>
      <c r="C17" s="2">
        <f t="shared" si="0"/>
        <v>-0.21647545608425814</v>
      </c>
      <c r="D17" s="2">
        <f t="shared" si="1"/>
        <v>0.78352454391574189</v>
      </c>
      <c r="E17" s="2">
        <f t="shared" si="2"/>
        <v>1.83295101701375E-3</v>
      </c>
    </row>
    <row r="18" spans="1:5" x14ac:dyDescent="0.2">
      <c r="A18" s="6">
        <v>37104</v>
      </c>
      <c r="B18" s="2">
        <v>53.17</v>
      </c>
      <c r="C18" s="2">
        <f t="shared" si="0"/>
        <v>-0.13234334203655351</v>
      </c>
      <c r="D18" s="2">
        <f t="shared" si="1"/>
        <v>0.86765665796344649</v>
      </c>
      <c r="E18" s="2">
        <f t="shared" si="2"/>
        <v>6.3858395513208613E-4</v>
      </c>
    </row>
    <row r="19" spans="1:5" x14ac:dyDescent="0.2">
      <c r="A19" s="6">
        <v>37074</v>
      </c>
      <c r="B19" s="2">
        <v>61.28</v>
      </c>
      <c r="C19" s="2">
        <f t="shared" si="0"/>
        <v>-1.1612903225806433E-2</v>
      </c>
      <c r="D19" s="2">
        <f t="shared" si="1"/>
        <v>0.98838709677419356</v>
      </c>
      <c r="E19" s="2">
        <f t="shared" si="2"/>
        <v>9.2509832457727514E-9</v>
      </c>
    </row>
    <row r="20" spans="1:5" x14ac:dyDescent="0.2">
      <c r="A20" s="6">
        <v>37043</v>
      </c>
      <c r="B20" s="2">
        <v>62</v>
      </c>
      <c r="C20" s="2">
        <f t="shared" si="0"/>
        <v>0.13076782783147914</v>
      </c>
      <c r="D20" s="2">
        <f t="shared" si="1"/>
        <v>1.1307678278314792</v>
      </c>
      <c r="E20" s="2">
        <f t="shared" si="2"/>
        <v>8.7570141853515824E-4</v>
      </c>
    </row>
    <row r="21" spans="1:5" x14ac:dyDescent="0.2">
      <c r="A21" s="6">
        <v>37012</v>
      </c>
      <c r="B21" s="2">
        <v>54.83</v>
      </c>
      <c r="C21" s="2">
        <f t="shared" si="0"/>
        <v>4.7573557508597528E-2</v>
      </c>
      <c r="D21" s="2">
        <f t="shared" si="1"/>
        <v>1.0475735575085976</v>
      </c>
      <c r="E21" s="2">
        <f t="shared" si="2"/>
        <v>1.4994120415473409E-4</v>
      </c>
    </row>
    <row r="22" spans="1:5" x14ac:dyDescent="0.2">
      <c r="A22" s="6">
        <v>36983</v>
      </c>
      <c r="B22" s="2">
        <v>52.34</v>
      </c>
      <c r="C22" s="2">
        <f t="shared" si="0"/>
        <v>5.7160169662694514E-2</v>
      </c>
      <c r="D22" s="2">
        <f t="shared" si="1"/>
        <v>1.0571601696626944</v>
      </c>
      <c r="E22" s="2">
        <f t="shared" si="2"/>
        <v>2.0289139254660391E-4</v>
      </c>
    </row>
    <row r="23" spans="1:5" x14ac:dyDescent="0.2">
      <c r="A23" s="6">
        <v>36951</v>
      </c>
      <c r="B23" s="2">
        <v>49.51</v>
      </c>
      <c r="C23" s="2">
        <f t="shared" si="0"/>
        <v>-2.7690494893951367E-2</v>
      </c>
      <c r="D23" s="2">
        <f t="shared" si="1"/>
        <v>0.97230950510604863</v>
      </c>
      <c r="E23" s="2">
        <f t="shared" si="2"/>
        <v>1.1892784285380342E-5</v>
      </c>
    </row>
    <row r="24" spans="1:5" x14ac:dyDescent="0.2">
      <c r="A24" s="6">
        <v>36923</v>
      </c>
      <c r="B24" s="2">
        <v>50.92</v>
      </c>
      <c r="C24" s="2">
        <f t="shared" si="0"/>
        <v>1.9677292404565411E-3</v>
      </c>
      <c r="D24" s="2">
        <f t="shared" si="1"/>
        <v>1.0019677292404565</v>
      </c>
      <c r="E24" s="2">
        <f t="shared" si="2"/>
        <v>7.4833738053398431E-6</v>
      </c>
    </row>
    <row r="25" spans="1:5" x14ac:dyDescent="0.2">
      <c r="A25" s="6">
        <v>36893</v>
      </c>
      <c r="B25" s="2">
        <v>50.82</v>
      </c>
      <c r="C25" s="2">
        <f t="shared" si="0"/>
        <v>5.4138145612943361E-2</v>
      </c>
      <c r="D25" s="2">
        <f t="shared" si="1"/>
        <v>1.0541381456129433</v>
      </c>
      <c r="E25" s="2">
        <f t="shared" si="2"/>
        <v>1.8533716750229352E-4</v>
      </c>
    </row>
    <row r="26" spans="1:5" x14ac:dyDescent="0.2">
      <c r="A26" s="6">
        <v>36861</v>
      </c>
      <c r="B26" s="2">
        <v>48.21</v>
      </c>
      <c r="C26" s="2">
        <f t="shared" si="0"/>
        <v>2.9028815368196358E-2</v>
      </c>
      <c r="D26" s="2">
        <f t="shared" si="1"/>
        <v>1.0290288153681963</v>
      </c>
      <c r="E26" s="2">
        <f t="shared" si="2"/>
        <v>7.0194270547031446E-5</v>
      </c>
    </row>
    <row r="27" spans="1:5" x14ac:dyDescent="0.2">
      <c r="A27" s="6">
        <v>36831</v>
      </c>
      <c r="B27" s="2">
        <v>46.85</v>
      </c>
      <c r="C27" s="2">
        <f t="shared" si="0"/>
        <v>-0.19598421142955211</v>
      </c>
      <c r="D27" s="2">
        <f t="shared" si="1"/>
        <v>0.80401578857044786</v>
      </c>
      <c r="E27" s="2">
        <f t="shared" si="2"/>
        <v>1.4853514351292369E-3</v>
      </c>
    </row>
    <row r="28" spans="1:5" x14ac:dyDescent="0.2">
      <c r="A28" s="6">
        <v>36801</v>
      </c>
      <c r="B28" s="2">
        <v>58.27</v>
      </c>
      <c r="C28" s="2" t="s">
        <v>19</v>
      </c>
      <c r="D28" s="2" t="e">
        <f t="shared" si="1"/>
        <v>#VALUE!</v>
      </c>
    </row>
    <row r="29" spans="1:5" x14ac:dyDescent="0.2">
      <c r="B29" s="2" t="s">
        <v>20</v>
      </c>
      <c r="C29" s="2">
        <f>SUM(C5:C27)/23</f>
        <v>-1.1151630405609131E-2</v>
      </c>
      <c r="D29" s="8" t="s">
        <v>21</v>
      </c>
      <c r="E29" s="2">
        <f>SUM(E5:E27)</f>
        <v>1.2060595701261263E-2</v>
      </c>
    </row>
    <row r="31" spans="1:5" ht="15.75" x14ac:dyDescent="0.25">
      <c r="A31" s="5" t="s">
        <v>22</v>
      </c>
    </row>
    <row r="32" spans="1:5" x14ac:dyDescent="0.2">
      <c r="A32" s="2" t="s">
        <v>3</v>
      </c>
      <c r="B32" s="2" t="s">
        <v>4</v>
      </c>
      <c r="C32" s="2" t="s">
        <v>5</v>
      </c>
      <c r="D32" s="2" t="s">
        <v>6</v>
      </c>
      <c r="E32" s="2" t="s">
        <v>7</v>
      </c>
    </row>
    <row r="33" spans="1:8" x14ac:dyDescent="0.2">
      <c r="A33" s="6">
        <v>37502</v>
      </c>
      <c r="B33" s="2">
        <v>1.96</v>
      </c>
      <c r="C33" s="2">
        <f t="shared" ref="C33:C55" si="3">(B33-B34)/B34</f>
        <v>-0.50505050505050508</v>
      </c>
      <c r="D33" s="2">
        <f t="shared" ref="D33:D56" si="4">C33+1</f>
        <v>0.49494949494949492</v>
      </c>
      <c r="E33" s="2">
        <f t="shared" ref="E33:E55" si="5">((C33-C$57)^2)/23</f>
        <v>7.7325151267718098E-3</v>
      </c>
      <c r="F33" s="2" t="s">
        <v>8</v>
      </c>
      <c r="G33" s="7">
        <f t="array" ref="G33">PRODUCT(D33:D55)</f>
        <v>5.1416579223504719E-2</v>
      </c>
      <c r="H33" s="2" t="s">
        <v>9</v>
      </c>
    </row>
    <row r="34" spans="1:8" x14ac:dyDescent="0.2">
      <c r="A34" s="6">
        <v>37469</v>
      </c>
      <c r="B34" s="2">
        <v>3.96</v>
      </c>
      <c r="C34" s="2">
        <f t="shared" si="3"/>
        <v>-3.414634146341456E-2</v>
      </c>
      <c r="D34" s="2">
        <f t="shared" si="4"/>
        <v>0.96585365853658545</v>
      </c>
      <c r="E34" s="2">
        <f t="shared" si="5"/>
        <v>1.0517702207708273E-4</v>
      </c>
      <c r="F34" s="2" t="s">
        <v>10</v>
      </c>
      <c r="G34" s="7">
        <f>G33^(1/24)-1</f>
        <v>-0.11631808748028472</v>
      </c>
      <c r="H34" s="2" t="s">
        <v>11</v>
      </c>
    </row>
    <row r="35" spans="1:8" x14ac:dyDescent="0.2">
      <c r="A35" s="6">
        <v>37438</v>
      </c>
      <c r="B35" s="2">
        <v>4.0999999999999996</v>
      </c>
      <c r="C35" s="2">
        <f t="shared" si="3"/>
        <v>-8.2774049217002266E-2</v>
      </c>
      <c r="D35" s="2">
        <f t="shared" si="4"/>
        <v>0.91722595078299773</v>
      </c>
      <c r="E35" s="2">
        <f t="shared" si="5"/>
        <v>1.3457608290025843E-8</v>
      </c>
      <c r="F35" s="2" t="s">
        <v>12</v>
      </c>
      <c r="G35" s="7">
        <f>(1+G34)^12-1</f>
        <v>-0.77324775806289214</v>
      </c>
      <c r="H35" s="2" t="s">
        <v>13</v>
      </c>
    </row>
    <row r="36" spans="1:8" x14ac:dyDescent="0.2">
      <c r="A36" s="6">
        <v>37410</v>
      </c>
      <c r="B36" s="2">
        <v>4.47</v>
      </c>
      <c r="C36" s="2">
        <f t="shared" si="3"/>
        <v>-0.57183908045977017</v>
      </c>
      <c r="D36" s="2">
        <f t="shared" si="4"/>
        <v>0.42816091954022983</v>
      </c>
      <c r="E36" s="2">
        <f t="shared" si="5"/>
        <v>1.0375683997431061E-2</v>
      </c>
      <c r="F36" s="2" t="s">
        <v>10</v>
      </c>
      <c r="G36" s="7">
        <f>(B33/B56)^(1/24)-1</f>
        <v>-0.11631808748028472</v>
      </c>
      <c r="H36" s="2" t="s">
        <v>11</v>
      </c>
    </row>
    <row r="37" spans="1:8" x14ac:dyDescent="0.2">
      <c r="A37" s="6">
        <v>37377</v>
      </c>
      <c r="B37" s="2">
        <v>10.44</v>
      </c>
      <c r="C37" s="2">
        <f t="shared" si="3"/>
        <v>-6.8688670829616535E-2</v>
      </c>
      <c r="D37" s="2">
        <f t="shared" si="4"/>
        <v>0.93131132917038351</v>
      </c>
      <c r="E37" s="2">
        <f t="shared" si="5"/>
        <v>9.3208783233505253E-6</v>
      </c>
      <c r="F37" s="2" t="s">
        <v>12</v>
      </c>
      <c r="G37" s="7">
        <f>(1+G36)^12-1</f>
        <v>-0.77324775806289214</v>
      </c>
      <c r="H37" s="2" t="s">
        <v>13</v>
      </c>
    </row>
    <row r="38" spans="1:8" x14ac:dyDescent="0.2">
      <c r="A38" s="6">
        <v>37347</v>
      </c>
      <c r="B38" s="2">
        <v>11.21</v>
      </c>
      <c r="C38" s="2">
        <f t="shared" si="3"/>
        <v>8.9407191448007947E-2</v>
      </c>
      <c r="D38" s="2">
        <f t="shared" si="4"/>
        <v>1.0894071914480079</v>
      </c>
      <c r="E38" s="2">
        <f t="shared" si="5"/>
        <v>1.2973163098141296E-3</v>
      </c>
      <c r="F38" s="2" t="s">
        <v>23</v>
      </c>
      <c r="G38" s="7">
        <f>E57</f>
        <v>6.3410123637947832E-2</v>
      </c>
      <c r="H38" s="2" t="s">
        <v>15</v>
      </c>
    </row>
    <row r="39" spans="1:8" x14ac:dyDescent="0.2">
      <c r="A39" s="6">
        <v>37316</v>
      </c>
      <c r="B39" s="2">
        <v>10.29</v>
      </c>
      <c r="C39" s="2">
        <f t="shared" si="3"/>
        <v>0.11243243243243234</v>
      </c>
      <c r="D39" s="2">
        <f t="shared" si="4"/>
        <v>1.1124324324324324</v>
      </c>
      <c r="E39" s="2">
        <f t="shared" si="5"/>
        <v>1.6662211364627851E-3</v>
      </c>
      <c r="F39" s="2" t="s">
        <v>24</v>
      </c>
      <c r="G39" s="7">
        <f>G38^0.5</f>
        <v>0.25181366848911885</v>
      </c>
      <c r="H39" s="2" t="s">
        <v>17</v>
      </c>
    </row>
    <row r="40" spans="1:8" x14ac:dyDescent="0.2">
      <c r="A40" s="6">
        <v>37288</v>
      </c>
      <c r="B40" s="2">
        <v>9.25</v>
      </c>
      <c r="C40" s="2">
        <f t="shared" si="3"/>
        <v>-0.43528693528693524</v>
      </c>
      <c r="D40" s="2">
        <f t="shared" si="4"/>
        <v>0.56471306471306471</v>
      </c>
      <c r="E40" s="2">
        <f t="shared" si="5"/>
        <v>5.3858001518376974E-3</v>
      </c>
      <c r="F40" s="2" t="s">
        <v>24</v>
      </c>
      <c r="G40" s="7">
        <f>G39*12^0.5</f>
        <v>0.87230813572691968</v>
      </c>
      <c r="H40" s="2" t="s">
        <v>18</v>
      </c>
    </row>
    <row r="41" spans="1:8" x14ac:dyDescent="0.2">
      <c r="A41" s="6">
        <v>37258</v>
      </c>
      <c r="B41" s="2">
        <v>16.38</v>
      </c>
      <c r="C41" s="2">
        <f t="shared" si="3"/>
        <v>-0.32896353953297836</v>
      </c>
      <c r="D41" s="2">
        <f t="shared" si="4"/>
        <v>0.67103646046702159</v>
      </c>
      <c r="E41" s="2">
        <f t="shared" si="5"/>
        <v>2.623288685564933E-3</v>
      </c>
    </row>
    <row r="42" spans="1:8" x14ac:dyDescent="0.2">
      <c r="A42" s="6">
        <v>37228</v>
      </c>
      <c r="B42" s="2">
        <v>24.41</v>
      </c>
      <c r="C42" s="2">
        <f t="shared" si="3"/>
        <v>-2.1643286573146257E-2</v>
      </c>
      <c r="D42" s="2">
        <f t="shared" si="4"/>
        <v>0.97835671342685371</v>
      </c>
      <c r="E42" s="2">
        <f t="shared" si="5"/>
        <v>1.6544781867578728E-4</v>
      </c>
    </row>
    <row r="43" spans="1:8" x14ac:dyDescent="0.2">
      <c r="A43" s="6">
        <v>37196</v>
      </c>
      <c r="B43" s="2">
        <v>24.95</v>
      </c>
      <c r="C43" s="2">
        <f t="shared" si="3"/>
        <v>0.11883408071748872</v>
      </c>
      <c r="D43" s="2">
        <f t="shared" si="4"/>
        <v>1.1188340807174888</v>
      </c>
      <c r="E43" s="2">
        <f t="shared" si="5"/>
        <v>1.7769772533306166E-3</v>
      </c>
    </row>
    <row r="44" spans="1:8" x14ac:dyDescent="0.2">
      <c r="A44" s="6">
        <v>37165</v>
      </c>
      <c r="B44" s="2">
        <v>22.3</v>
      </c>
      <c r="C44" s="2">
        <f t="shared" si="3"/>
        <v>-0.15176873335869145</v>
      </c>
      <c r="D44" s="2">
        <f t="shared" si="4"/>
        <v>0.84823126664130855</v>
      </c>
      <c r="E44" s="2">
        <f t="shared" si="5"/>
        <v>2.0364372264821182E-4</v>
      </c>
    </row>
    <row r="45" spans="1:8" x14ac:dyDescent="0.2">
      <c r="A45" s="6">
        <v>37138</v>
      </c>
      <c r="B45" s="2">
        <v>26.29</v>
      </c>
      <c r="C45" s="2">
        <f t="shared" si="3"/>
        <v>5.2441953562850231E-2</v>
      </c>
      <c r="D45" s="2">
        <f t="shared" si="4"/>
        <v>1.0524419535628502</v>
      </c>
      <c r="E45" s="2">
        <f t="shared" si="5"/>
        <v>8.014839868868102E-4</v>
      </c>
    </row>
    <row r="46" spans="1:8" x14ac:dyDescent="0.2">
      <c r="A46" s="6">
        <v>37104</v>
      </c>
      <c r="B46" s="2">
        <v>24.98</v>
      </c>
      <c r="C46" s="2">
        <f t="shared" si="3"/>
        <v>-3.6265432098765482E-2</v>
      </c>
      <c r="D46" s="2">
        <f t="shared" si="4"/>
        <v>0.96373456790123457</v>
      </c>
      <c r="E46" s="2">
        <f t="shared" si="5"/>
        <v>9.6309178337794445E-5</v>
      </c>
    </row>
    <row r="47" spans="1:8" x14ac:dyDescent="0.2">
      <c r="A47" s="6">
        <v>37074</v>
      </c>
      <c r="B47" s="2">
        <v>25.92</v>
      </c>
      <c r="C47" s="2">
        <f t="shared" si="3"/>
        <v>7.3291925465838639E-2</v>
      </c>
      <c r="D47" s="2">
        <f t="shared" si="4"/>
        <v>1.0732919254658386</v>
      </c>
      <c r="E47" s="2">
        <f t="shared" si="5"/>
        <v>1.0665457606800603E-3</v>
      </c>
    </row>
    <row r="48" spans="1:8" x14ac:dyDescent="0.2">
      <c r="A48" s="6">
        <v>37043</v>
      </c>
      <c r="B48" s="2">
        <v>24.15</v>
      </c>
      <c r="C48" s="2">
        <f t="shared" si="3"/>
        <v>9.7727272727272663E-2</v>
      </c>
      <c r="D48" s="2">
        <f t="shared" si="4"/>
        <v>1.0977272727272727</v>
      </c>
      <c r="E48" s="2">
        <f t="shared" si="5"/>
        <v>1.4252991505169833E-3</v>
      </c>
    </row>
    <row r="49" spans="1:5" x14ac:dyDescent="0.2">
      <c r="A49" s="6">
        <v>37012</v>
      </c>
      <c r="B49" s="2">
        <v>22</v>
      </c>
      <c r="C49" s="2">
        <f t="shared" si="3"/>
        <v>-0.14163090128755362</v>
      </c>
      <c r="D49" s="2">
        <f t="shared" si="4"/>
        <v>0.85836909871244638</v>
      </c>
      <c r="E49" s="2">
        <f t="shared" si="5"/>
        <v>1.4778037288917936E-4</v>
      </c>
    </row>
    <row r="50" spans="1:5" x14ac:dyDescent="0.2">
      <c r="A50" s="6">
        <v>36983</v>
      </c>
      <c r="B50" s="2">
        <v>25.63</v>
      </c>
      <c r="C50" s="2">
        <f t="shared" si="3"/>
        <v>0.34894736842105256</v>
      </c>
      <c r="D50" s="2">
        <f t="shared" si="4"/>
        <v>1.3489473684210527</v>
      </c>
      <c r="E50" s="2">
        <f t="shared" si="5"/>
        <v>8.1245247015787961E-3</v>
      </c>
    </row>
    <row r="51" spans="1:5" x14ac:dyDescent="0.2">
      <c r="A51" s="6">
        <v>36951</v>
      </c>
      <c r="B51" s="2">
        <v>19</v>
      </c>
      <c r="C51" s="2">
        <f t="shared" si="3"/>
        <v>-0.2454328832406672</v>
      </c>
      <c r="D51" s="2">
        <f t="shared" si="4"/>
        <v>0.75456711675933286</v>
      </c>
      <c r="E51" s="2">
        <f t="shared" si="5"/>
        <v>1.1424876271011728E-3</v>
      </c>
    </row>
    <row r="52" spans="1:5" x14ac:dyDescent="0.2">
      <c r="A52" s="6">
        <v>36923</v>
      </c>
      <c r="B52" s="2">
        <v>25.18</v>
      </c>
      <c r="C52" s="2">
        <f t="shared" si="3"/>
        <v>-0.17442622950819672</v>
      </c>
      <c r="D52" s="2">
        <f t="shared" si="4"/>
        <v>0.82557377049180325</v>
      </c>
      <c r="E52" s="2">
        <f t="shared" si="5"/>
        <v>3.6080218916414417E-4</v>
      </c>
    </row>
    <row r="53" spans="1:5" x14ac:dyDescent="0.2">
      <c r="A53" s="6">
        <v>36893</v>
      </c>
      <c r="B53" s="2">
        <v>30.5</v>
      </c>
      <c r="C53" s="2">
        <f t="shared" si="3"/>
        <v>0.49217221135029343</v>
      </c>
      <c r="D53" s="2">
        <f t="shared" si="4"/>
        <v>1.4921722113502933</v>
      </c>
      <c r="E53" s="2">
        <f t="shared" si="5"/>
        <v>1.4400141496805196E-2</v>
      </c>
    </row>
    <row r="54" spans="1:5" x14ac:dyDescent="0.2">
      <c r="A54" s="6">
        <v>36861</v>
      </c>
      <c r="B54" s="2">
        <v>20.440000000000001</v>
      </c>
      <c r="C54" s="2">
        <f t="shared" si="3"/>
        <v>-9.9162626707800794E-2</v>
      </c>
      <c r="D54" s="2">
        <f t="shared" si="4"/>
        <v>0.90083737329219926</v>
      </c>
      <c r="E54" s="2">
        <f t="shared" si="5"/>
        <v>1.0898236381016233E-5</v>
      </c>
    </row>
    <row r="55" spans="1:5" x14ac:dyDescent="0.2">
      <c r="A55" s="6">
        <v>36831</v>
      </c>
      <c r="B55" s="2">
        <v>22.69</v>
      </c>
      <c r="C55" s="2">
        <f t="shared" si="3"/>
        <v>-0.40477439664218251</v>
      </c>
      <c r="D55" s="2">
        <f t="shared" si="4"/>
        <v>0.59522560335781749</v>
      </c>
      <c r="E55" s="2">
        <f t="shared" si="5"/>
        <v>4.4924453770609305E-3</v>
      </c>
    </row>
    <row r="56" spans="1:5" x14ac:dyDescent="0.2">
      <c r="A56" s="6">
        <v>36801</v>
      </c>
      <c r="B56" s="2">
        <v>38.119999999999997</v>
      </c>
      <c r="C56" s="2" t="s">
        <v>19</v>
      </c>
      <c r="D56" s="2" t="e">
        <f t="shared" si="4"/>
        <v>#VALUE!</v>
      </c>
    </row>
    <row r="57" spans="1:5" x14ac:dyDescent="0.2">
      <c r="B57" s="2" t="s">
        <v>20</v>
      </c>
      <c r="C57" s="2">
        <f>SUM(C33:C55)/23</f>
        <v>-8.3330398918782175E-2</v>
      </c>
      <c r="D57" s="8" t="s">
        <v>21</v>
      </c>
      <c r="E57" s="2">
        <f>SUM(E33:E55)</f>
        <v>6.3410123637947832E-2</v>
      </c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FC39-F84D-4BC1-87CA-D15883C8A1C8}">
  <dimension ref="A1:J14"/>
  <sheetViews>
    <sheetView workbookViewId="0">
      <selection activeCell="A2" sqref="A2"/>
    </sheetView>
  </sheetViews>
  <sheetFormatPr defaultRowHeight="12.75" x14ac:dyDescent="0.2"/>
  <cols>
    <col min="1" max="1" width="2.140625" style="2" bestFit="1" customWidth="1"/>
    <col min="2" max="3" width="8.5703125" style="2" bestFit="1" customWidth="1"/>
    <col min="4" max="4" width="9.140625" style="2"/>
    <col min="5" max="6" width="14" style="2" bestFit="1" customWidth="1"/>
    <col min="7" max="16384" width="9.140625" style="2"/>
  </cols>
  <sheetData>
    <row r="1" spans="1:10" ht="18" x14ac:dyDescent="0.25">
      <c r="D1" s="1" t="s">
        <v>25</v>
      </c>
    </row>
    <row r="2" spans="1:10" ht="18" x14ac:dyDescent="0.25">
      <c r="A2" s="9"/>
      <c r="B2" s="9"/>
      <c r="C2" s="9"/>
      <c r="D2" s="10" t="s">
        <v>26</v>
      </c>
      <c r="E2" s="9"/>
      <c r="F2" s="9"/>
      <c r="G2" s="9"/>
      <c r="H2" s="9"/>
      <c r="I2" s="9"/>
      <c r="J2" s="9"/>
    </row>
    <row r="3" spans="1:10" x14ac:dyDescent="0.2">
      <c r="A3" s="11" t="s">
        <v>27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33</v>
      </c>
      <c r="H3" s="12"/>
      <c r="I3" s="13"/>
      <c r="J3" s="13"/>
    </row>
    <row r="4" spans="1:10" x14ac:dyDescent="0.2">
      <c r="A4" s="2">
        <v>1</v>
      </c>
      <c r="B4" s="2">
        <v>-0.2</v>
      </c>
      <c r="C4" s="2">
        <v>0.5</v>
      </c>
      <c r="D4" s="2">
        <v>0.2</v>
      </c>
      <c r="E4" s="2">
        <f>B4-C$9</f>
        <v>-0.33</v>
      </c>
      <c r="F4" s="2">
        <f>C4-C$10</f>
        <v>0.25999999999999995</v>
      </c>
      <c r="G4" s="2">
        <f>E4*F4*D4</f>
        <v>-1.7159999999999998E-2</v>
      </c>
    </row>
    <row r="5" spans="1:10" x14ac:dyDescent="0.2">
      <c r="A5" s="2">
        <v>2</v>
      </c>
      <c r="B5" s="2">
        <v>0.1</v>
      </c>
      <c r="C5" s="2">
        <v>0.4</v>
      </c>
      <c r="D5" s="2">
        <v>0.5</v>
      </c>
      <c r="E5" s="2">
        <f>B5-C$9</f>
        <v>-0.03</v>
      </c>
      <c r="F5" s="2">
        <f>C5-C$10</f>
        <v>0.15999999999999998</v>
      </c>
      <c r="G5" s="2">
        <f>E5*F5*D5</f>
        <v>-2.3999999999999994E-3</v>
      </c>
    </row>
    <row r="6" spans="1:10" x14ac:dyDescent="0.2">
      <c r="A6" s="2">
        <v>3</v>
      </c>
      <c r="B6" s="2">
        <v>0.4</v>
      </c>
      <c r="C6" s="2">
        <v>-0.2</v>
      </c>
      <c r="D6" s="2">
        <v>0.3</v>
      </c>
      <c r="E6" s="2">
        <f>B6-C$9</f>
        <v>0.27</v>
      </c>
      <c r="F6" s="2">
        <f>C6-C$10</f>
        <v>-0.44000000000000006</v>
      </c>
      <c r="G6" s="13">
        <f>E6*F6*D6</f>
        <v>-3.5640000000000005E-2</v>
      </c>
    </row>
    <row r="7" spans="1:10" x14ac:dyDescent="0.2">
      <c r="D7" s="7"/>
      <c r="E7" s="7"/>
      <c r="F7" s="7" t="s">
        <v>34</v>
      </c>
      <c r="G7" s="7">
        <f>SUM(G4:G6)</f>
        <v>-5.5199999999999999E-2</v>
      </c>
      <c r="H7" s="7"/>
    </row>
    <row r="8" spans="1:10" x14ac:dyDescent="0.2">
      <c r="F8" s="7"/>
      <c r="G8" s="7"/>
      <c r="H8" s="7"/>
    </row>
    <row r="9" spans="1:10" x14ac:dyDescent="0.2">
      <c r="B9" s="7" t="s">
        <v>35</v>
      </c>
      <c r="C9" s="2">
        <f>B4*D4+B5*D5+B6*D6</f>
        <v>0.13</v>
      </c>
    </row>
    <row r="10" spans="1:10" x14ac:dyDescent="0.2">
      <c r="B10" s="7" t="s">
        <v>36</v>
      </c>
      <c r="C10" s="2">
        <f>C4*D4+C5*D5+C6*D6</f>
        <v>0.24000000000000005</v>
      </c>
    </row>
    <row r="11" spans="1:10" x14ac:dyDescent="0.2">
      <c r="B11" s="14" t="s">
        <v>37</v>
      </c>
      <c r="C11" s="2">
        <f>(E4^2*D4+E5^2*D5+E6^2*D6)^0.5</f>
        <v>0.21</v>
      </c>
    </row>
    <row r="12" spans="1:10" x14ac:dyDescent="0.2">
      <c r="B12" s="14" t="s">
        <v>38</v>
      </c>
      <c r="C12" s="2">
        <f>(F4^2*D4+F5^2*D5+F6^2*D6)^0.5</f>
        <v>0.29051678092667899</v>
      </c>
    </row>
    <row r="13" spans="1:10" x14ac:dyDescent="0.2">
      <c r="B13" s="14" t="s">
        <v>39</v>
      </c>
      <c r="C13" s="2">
        <f>G7/(C11*C12)</f>
        <v>-0.90479159936541875</v>
      </c>
    </row>
    <row r="14" spans="1:10" ht="14.25" x14ac:dyDescent="0.2">
      <c r="B14" s="14" t="s">
        <v>40</v>
      </c>
      <c r="C14" s="2">
        <f>C13^2</f>
        <v>0.81864783828223242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A743-9BB1-4869-92C2-39FF2CD17E8B}">
  <dimension ref="A1:M56"/>
  <sheetViews>
    <sheetView workbookViewId="0">
      <selection activeCell="A4" sqref="A4"/>
    </sheetView>
  </sheetViews>
  <sheetFormatPr defaultRowHeight="12.75" x14ac:dyDescent="0.2"/>
  <cols>
    <col min="1" max="1" width="9.140625" style="2"/>
    <col min="2" max="2" width="11.7109375" style="2" bestFit="1" customWidth="1"/>
    <col min="3" max="3" width="9.140625" style="2"/>
    <col min="4" max="4" width="14.7109375" style="2" bestFit="1" customWidth="1"/>
    <col min="5" max="5" width="12.5703125" style="2" bestFit="1" customWidth="1"/>
    <col min="6" max="6" width="9.140625" style="2"/>
    <col min="7" max="7" width="18.7109375" style="2" bestFit="1" customWidth="1"/>
    <col min="8" max="8" width="13.140625" style="2" bestFit="1" customWidth="1"/>
    <col min="9" max="16384" width="9.140625" style="2"/>
  </cols>
  <sheetData>
    <row r="1" spans="1:13" ht="18" x14ac:dyDescent="0.25">
      <c r="A1" s="1" t="s">
        <v>41</v>
      </c>
    </row>
    <row r="2" spans="1:13" x14ac:dyDescent="0.2">
      <c r="A2" s="3" t="s">
        <v>42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x14ac:dyDescent="0.25">
      <c r="A3" s="5" t="s">
        <v>43</v>
      </c>
    </row>
    <row r="4" spans="1:13" x14ac:dyDescent="0.2">
      <c r="A4" s="2" t="s">
        <v>3</v>
      </c>
      <c r="B4" s="2" t="s">
        <v>44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</row>
    <row r="5" spans="1:13" x14ac:dyDescent="0.2">
      <c r="A5" s="6">
        <v>37502</v>
      </c>
      <c r="B5" s="2">
        <v>38.9</v>
      </c>
      <c r="C5" s="2">
        <f t="shared" ref="C5:C27" si="0">(B5-B6)/B6</f>
        <v>-0.18721270371918097</v>
      </c>
      <c r="D5" s="2">
        <f t="shared" ref="D5:D27" si="1">((C5-C$29))</f>
        <v>-0.17606107331357185</v>
      </c>
      <c r="E5" s="2">
        <v>1.96</v>
      </c>
      <c r="F5" s="2">
        <f t="shared" ref="F5:F27" si="2">(E5-E6)/E6</f>
        <v>-0.50505050505050508</v>
      </c>
      <c r="G5" s="2">
        <f t="shared" ref="G5:G27" si="3">(F5-F$29)</f>
        <v>-0.42172010613172289</v>
      </c>
      <c r="H5" s="2">
        <f t="shared" ref="H5:H27" si="4">D5*G5</f>
        <v>7.4248494523464562E-2</v>
      </c>
    </row>
    <row r="6" spans="1:13" x14ac:dyDescent="0.2">
      <c r="A6" s="6">
        <v>37469</v>
      </c>
      <c r="B6" s="2">
        <v>47.86</v>
      </c>
      <c r="C6" s="2">
        <f t="shared" si="0"/>
        <v>2.8141783029001124E-2</v>
      </c>
      <c r="D6" s="2">
        <f t="shared" si="1"/>
        <v>3.9293413434610257E-2</v>
      </c>
      <c r="E6" s="2">
        <v>3.96</v>
      </c>
      <c r="F6" s="2">
        <f t="shared" si="2"/>
        <v>-3.414634146341456E-2</v>
      </c>
      <c r="G6" s="2">
        <f t="shared" si="3"/>
        <v>4.9184057455367615E-2</v>
      </c>
      <c r="H6" s="2">
        <f t="shared" si="4"/>
        <v>1.9326095039853845E-3</v>
      </c>
    </row>
    <row r="7" spans="1:13" x14ac:dyDescent="0.2">
      <c r="A7" s="6">
        <v>37438</v>
      </c>
      <c r="B7" s="2">
        <v>46.55</v>
      </c>
      <c r="C7" s="2">
        <f t="shared" si="0"/>
        <v>-0.12909260991580926</v>
      </c>
      <c r="D7" s="2">
        <f t="shared" si="1"/>
        <v>-0.11794097951020013</v>
      </c>
      <c r="E7" s="2">
        <v>4.0999999999999996</v>
      </c>
      <c r="F7" s="2">
        <f t="shared" si="2"/>
        <v>-8.2774049217002266E-2</v>
      </c>
      <c r="G7" s="2">
        <f t="shared" si="3"/>
        <v>5.5634970177990961E-4</v>
      </c>
      <c r="H7" s="2">
        <f t="shared" si="4"/>
        <v>-6.5616428778130274E-5</v>
      </c>
    </row>
    <row r="8" spans="1:13" x14ac:dyDescent="0.2">
      <c r="A8" s="6">
        <v>37410</v>
      </c>
      <c r="B8" s="2">
        <v>53.45</v>
      </c>
      <c r="C8" s="2">
        <f t="shared" si="0"/>
        <v>-0.13998390989541426</v>
      </c>
      <c r="D8" s="2">
        <f t="shared" si="1"/>
        <v>-0.12883227948980513</v>
      </c>
      <c r="E8" s="2">
        <v>4.47</v>
      </c>
      <c r="F8" s="2">
        <f t="shared" si="2"/>
        <v>-0.57183908045977017</v>
      </c>
      <c r="G8" s="2">
        <f t="shared" si="3"/>
        <v>-0.48850868154098798</v>
      </c>
      <c r="H8" s="2">
        <f t="shared" si="4"/>
        <v>6.2935686993484771E-2</v>
      </c>
    </row>
    <row r="9" spans="1:13" x14ac:dyDescent="0.2">
      <c r="A9" s="6">
        <v>37377</v>
      </c>
      <c r="B9" s="2">
        <v>62.15</v>
      </c>
      <c r="C9" s="2">
        <f t="shared" si="0"/>
        <v>-2.4026381909547756E-2</v>
      </c>
      <c r="D9" s="2">
        <f t="shared" si="1"/>
        <v>-1.2874751503938625E-2</v>
      </c>
      <c r="E9" s="2">
        <v>10.44</v>
      </c>
      <c r="F9" s="2">
        <f t="shared" si="2"/>
        <v>-6.8688670829616535E-2</v>
      </c>
      <c r="G9" s="2">
        <f t="shared" si="3"/>
        <v>1.464172808916564E-2</v>
      </c>
      <c r="H9" s="2">
        <f t="shared" si="4"/>
        <v>-1.8850861073624575E-4</v>
      </c>
    </row>
    <row r="10" spans="1:13" x14ac:dyDescent="0.2">
      <c r="A10" s="6">
        <v>37347</v>
      </c>
      <c r="B10" s="2">
        <v>63.68</v>
      </c>
      <c r="C10" s="2">
        <f t="shared" si="0"/>
        <v>6.1156473921013192E-2</v>
      </c>
      <c r="D10" s="2">
        <f t="shared" si="1"/>
        <v>7.2308104326622324E-2</v>
      </c>
      <c r="E10" s="2">
        <v>11.21</v>
      </c>
      <c r="F10" s="2">
        <f t="shared" si="2"/>
        <v>8.9407191448007947E-2</v>
      </c>
      <c r="G10" s="2">
        <f t="shared" si="3"/>
        <v>0.17273759036679012</v>
      </c>
      <c r="H10" s="2">
        <f t="shared" si="4"/>
        <v>1.2490327705371212E-2</v>
      </c>
    </row>
    <row r="11" spans="1:13" x14ac:dyDescent="0.2">
      <c r="A11" s="6">
        <v>37316</v>
      </c>
      <c r="B11" s="2">
        <v>60.01</v>
      </c>
      <c r="C11" s="2">
        <f t="shared" si="0"/>
        <v>0.14109146225518149</v>
      </c>
      <c r="D11" s="2">
        <f t="shared" si="1"/>
        <v>0.15224309266079061</v>
      </c>
      <c r="E11" s="2">
        <v>10.29</v>
      </c>
      <c r="F11" s="2">
        <f t="shared" si="2"/>
        <v>0.11243243243243234</v>
      </c>
      <c r="G11" s="2">
        <f t="shared" si="3"/>
        <v>0.19576283135121453</v>
      </c>
      <c r="H11" s="2">
        <f t="shared" si="4"/>
        <v>2.9803538872941678E-2</v>
      </c>
    </row>
    <row r="12" spans="1:13" x14ac:dyDescent="0.2">
      <c r="A12" s="6">
        <v>37288</v>
      </c>
      <c r="B12" s="2">
        <v>52.59</v>
      </c>
      <c r="C12" s="2">
        <f t="shared" si="0"/>
        <v>4.6567164179104545E-2</v>
      </c>
      <c r="D12" s="2">
        <f t="shared" si="1"/>
        <v>5.7718794584713677E-2</v>
      </c>
      <c r="E12" s="2">
        <v>9.25</v>
      </c>
      <c r="F12" s="2">
        <f t="shared" si="2"/>
        <v>-0.43528693528693524</v>
      </c>
      <c r="G12" s="2">
        <f t="shared" si="3"/>
        <v>-0.35195653636815305</v>
      </c>
      <c r="H12" s="2">
        <f t="shared" si="4"/>
        <v>-2.0314507025380735E-2</v>
      </c>
    </row>
    <row r="13" spans="1:13" x14ac:dyDescent="0.2">
      <c r="A13" s="6">
        <v>37258</v>
      </c>
      <c r="B13" s="2">
        <v>50.25</v>
      </c>
      <c r="C13" s="2">
        <f t="shared" si="0"/>
        <v>5.2135678391959844E-2</v>
      </c>
      <c r="D13" s="2">
        <f t="shared" si="1"/>
        <v>6.328730879756897E-2</v>
      </c>
      <c r="E13" s="2">
        <v>16.38</v>
      </c>
      <c r="F13" s="2">
        <f t="shared" si="2"/>
        <v>-0.32896353953297836</v>
      </c>
      <c r="G13" s="2">
        <f t="shared" si="3"/>
        <v>-0.24563314061419617</v>
      </c>
      <c r="H13" s="2">
        <f t="shared" si="4"/>
        <v>-1.5545460420967314E-2</v>
      </c>
    </row>
    <row r="14" spans="1:13" x14ac:dyDescent="0.2">
      <c r="A14" s="6">
        <v>37228</v>
      </c>
      <c r="B14" s="2">
        <v>47.76</v>
      </c>
      <c r="C14" s="2">
        <f t="shared" si="0"/>
        <v>-2.2113022113022223E-2</v>
      </c>
      <c r="D14" s="2">
        <f t="shared" si="1"/>
        <v>-1.0961391707413093E-2</v>
      </c>
      <c r="E14" s="2">
        <v>24.41</v>
      </c>
      <c r="F14" s="2">
        <f t="shared" si="2"/>
        <v>-2.1643286573146257E-2</v>
      </c>
      <c r="G14" s="2">
        <f t="shared" si="3"/>
        <v>6.1687112345635918E-2</v>
      </c>
      <c r="H14" s="2">
        <f t="shared" si="4"/>
        <v>-6.7617660171971335E-4</v>
      </c>
    </row>
    <row r="15" spans="1:13" x14ac:dyDescent="0.2">
      <c r="A15" s="6">
        <v>37196</v>
      </c>
      <c r="B15" s="2">
        <v>48.84</v>
      </c>
      <c r="C15" s="2">
        <f t="shared" si="0"/>
        <v>0.21704460503364068</v>
      </c>
      <c r="D15" s="2">
        <f t="shared" si="1"/>
        <v>0.2281962354392498</v>
      </c>
      <c r="E15" s="2">
        <v>24.95</v>
      </c>
      <c r="F15" s="2">
        <f t="shared" si="2"/>
        <v>0.11883408071748872</v>
      </c>
      <c r="G15" s="2">
        <f t="shared" si="3"/>
        <v>0.20216447963627088</v>
      </c>
      <c r="H15" s="2">
        <f t="shared" si="4"/>
        <v>4.6133173192531893E-2</v>
      </c>
    </row>
    <row r="16" spans="1:13" x14ac:dyDescent="0.2">
      <c r="A16" s="6">
        <v>37165</v>
      </c>
      <c r="B16" s="2">
        <v>40.130000000000003</v>
      </c>
      <c r="C16" s="2">
        <f t="shared" si="0"/>
        <v>-3.6725876140182287E-2</v>
      </c>
      <c r="D16" s="2">
        <f t="shared" si="1"/>
        <v>-2.5574245734573155E-2</v>
      </c>
      <c r="E16" s="2">
        <v>22.3</v>
      </c>
      <c r="F16" s="2">
        <f t="shared" si="2"/>
        <v>-0.15176873335869145</v>
      </c>
      <c r="G16" s="2">
        <f t="shared" si="3"/>
        <v>-6.8438334439909279E-2</v>
      </c>
      <c r="H16" s="2">
        <f t="shared" si="4"/>
        <v>1.7502587826311409E-3</v>
      </c>
    </row>
    <row r="17" spans="1:9" x14ac:dyDescent="0.2">
      <c r="A17" s="6">
        <v>37138</v>
      </c>
      <c r="B17" s="2">
        <v>41.66</v>
      </c>
      <c r="C17" s="2">
        <f t="shared" si="0"/>
        <v>-0.21647545608425814</v>
      </c>
      <c r="D17" s="2">
        <f t="shared" si="1"/>
        <v>-0.20532382567864901</v>
      </c>
      <c r="E17" s="2">
        <v>26.29</v>
      </c>
      <c r="F17" s="2">
        <f t="shared" si="2"/>
        <v>5.2441953562850231E-2</v>
      </c>
      <c r="G17" s="2">
        <f t="shared" si="3"/>
        <v>0.13577235248163241</v>
      </c>
      <c r="H17" s="2">
        <f t="shared" si="4"/>
        <v>-2.7877298832918781E-2</v>
      </c>
    </row>
    <row r="18" spans="1:9" x14ac:dyDescent="0.2">
      <c r="A18" s="6">
        <v>37104</v>
      </c>
      <c r="B18" s="2">
        <v>53.17</v>
      </c>
      <c r="C18" s="2">
        <f t="shared" si="0"/>
        <v>-0.13234334203655351</v>
      </c>
      <c r="D18" s="2">
        <f t="shared" si="1"/>
        <v>-0.12119171163094439</v>
      </c>
      <c r="E18" s="2">
        <v>24.98</v>
      </c>
      <c r="F18" s="2">
        <f t="shared" si="2"/>
        <v>-3.6265432098765482E-2</v>
      </c>
      <c r="G18" s="2">
        <f t="shared" si="3"/>
        <v>4.7064966820016693E-2</v>
      </c>
      <c r="H18" s="2">
        <f t="shared" si="4"/>
        <v>-5.7038838867714287E-3</v>
      </c>
    </row>
    <row r="19" spans="1:9" x14ac:dyDescent="0.2">
      <c r="A19" s="6">
        <v>37074</v>
      </c>
      <c r="B19" s="2">
        <v>61.28</v>
      </c>
      <c r="C19" s="2">
        <f t="shared" si="0"/>
        <v>-1.1612903225806433E-2</v>
      </c>
      <c r="D19" s="2">
        <f t="shared" si="1"/>
        <v>-4.6127282019730285E-4</v>
      </c>
      <c r="E19" s="2">
        <v>25.92</v>
      </c>
      <c r="F19" s="2">
        <f t="shared" si="2"/>
        <v>7.3291925465838639E-2</v>
      </c>
      <c r="G19" s="2">
        <f t="shared" si="3"/>
        <v>0.15662232438462081</v>
      </c>
      <c r="H19" s="2">
        <f t="shared" si="4"/>
        <v>-7.2245621274750839E-5</v>
      </c>
    </row>
    <row r="20" spans="1:9" x14ac:dyDescent="0.2">
      <c r="A20" s="6">
        <v>37043</v>
      </c>
      <c r="B20" s="2">
        <v>62</v>
      </c>
      <c r="C20" s="2">
        <f t="shared" si="0"/>
        <v>0.13076782783147914</v>
      </c>
      <c r="D20" s="2">
        <f t="shared" si="1"/>
        <v>0.14191945823708826</v>
      </c>
      <c r="E20" s="2">
        <v>24.15</v>
      </c>
      <c r="F20" s="2">
        <f t="shared" si="2"/>
        <v>9.7727272727272663E-2</v>
      </c>
      <c r="G20" s="2">
        <f t="shared" si="3"/>
        <v>0.18105767164605485</v>
      </c>
      <c r="H20" s="2">
        <f t="shared" si="4"/>
        <v>2.5695606669676723E-2</v>
      </c>
    </row>
    <row r="21" spans="1:9" x14ac:dyDescent="0.2">
      <c r="A21" s="6">
        <v>37012</v>
      </c>
      <c r="B21" s="2">
        <v>54.83</v>
      </c>
      <c r="C21" s="2">
        <f t="shared" si="0"/>
        <v>4.7573557508597528E-2</v>
      </c>
      <c r="D21" s="2">
        <f t="shared" si="1"/>
        <v>5.872518791420666E-2</v>
      </c>
      <c r="E21" s="2">
        <v>22</v>
      </c>
      <c r="F21" s="2">
        <f t="shared" si="2"/>
        <v>-0.14163090128755362</v>
      </c>
      <c r="G21" s="2">
        <f t="shared" si="3"/>
        <v>-5.8300502368771448E-2</v>
      </c>
      <c r="H21" s="2">
        <f t="shared" si="4"/>
        <v>-3.4237079570987538E-3</v>
      </c>
    </row>
    <row r="22" spans="1:9" x14ac:dyDescent="0.2">
      <c r="A22" s="6">
        <v>36983</v>
      </c>
      <c r="B22" s="2">
        <v>52.34</v>
      </c>
      <c r="C22" s="2">
        <f t="shared" si="0"/>
        <v>5.7160169662694514E-2</v>
      </c>
      <c r="D22" s="2">
        <f t="shared" si="1"/>
        <v>6.8311800068303646E-2</v>
      </c>
      <c r="E22" s="2">
        <v>25.63</v>
      </c>
      <c r="F22" s="2">
        <f t="shared" si="2"/>
        <v>0.34894736842105256</v>
      </c>
      <c r="G22" s="2">
        <f t="shared" si="3"/>
        <v>0.43227776733983475</v>
      </c>
      <c r="H22" s="2">
        <f t="shared" si="4"/>
        <v>2.952967241649147E-2</v>
      </c>
    </row>
    <row r="23" spans="1:9" x14ac:dyDescent="0.2">
      <c r="A23" s="6">
        <v>36951</v>
      </c>
      <c r="B23" s="2">
        <v>49.51</v>
      </c>
      <c r="C23" s="2">
        <f t="shared" si="0"/>
        <v>-2.7690494893951367E-2</v>
      </c>
      <c r="D23" s="2">
        <f t="shared" si="1"/>
        <v>-1.6538864488342235E-2</v>
      </c>
      <c r="E23" s="2">
        <v>19</v>
      </c>
      <c r="F23" s="2">
        <f t="shared" si="2"/>
        <v>-0.2454328832406672</v>
      </c>
      <c r="G23" s="2">
        <f t="shared" si="3"/>
        <v>-0.16210248432188501</v>
      </c>
      <c r="H23" s="2">
        <f t="shared" si="4"/>
        <v>2.6809910214232778E-3</v>
      </c>
    </row>
    <row r="24" spans="1:9" x14ac:dyDescent="0.2">
      <c r="A24" s="6">
        <v>36923</v>
      </c>
      <c r="B24" s="2">
        <v>50.92</v>
      </c>
      <c r="C24" s="2">
        <f t="shared" si="0"/>
        <v>1.9677292404565411E-3</v>
      </c>
      <c r="D24" s="2">
        <f t="shared" si="1"/>
        <v>1.3119359646065672E-2</v>
      </c>
      <c r="E24" s="2">
        <v>25.18</v>
      </c>
      <c r="F24" s="2">
        <f t="shared" si="2"/>
        <v>-0.17442622950819672</v>
      </c>
      <c r="G24" s="2">
        <f t="shared" si="3"/>
        <v>-9.1095830589414548E-2</v>
      </c>
      <c r="H24" s="2">
        <f t="shared" si="4"/>
        <v>-1.1951189637596001E-3</v>
      </c>
    </row>
    <row r="25" spans="1:9" x14ac:dyDescent="0.2">
      <c r="A25" s="6">
        <v>36893</v>
      </c>
      <c r="B25" s="2">
        <v>50.82</v>
      </c>
      <c r="C25" s="2">
        <f t="shared" si="0"/>
        <v>5.4138145612943361E-2</v>
      </c>
      <c r="D25" s="2">
        <f t="shared" si="1"/>
        <v>6.5289776018552487E-2</v>
      </c>
      <c r="E25" s="2">
        <v>30.5</v>
      </c>
      <c r="F25" s="2">
        <f t="shared" si="2"/>
        <v>0.49217221135029343</v>
      </c>
      <c r="G25" s="2">
        <f t="shared" si="3"/>
        <v>0.57550261026907557</v>
      </c>
      <c r="H25" s="2">
        <f t="shared" si="4"/>
        <v>3.7574436522560248E-2</v>
      </c>
    </row>
    <row r="26" spans="1:9" x14ac:dyDescent="0.2">
      <c r="A26" s="6">
        <v>36861</v>
      </c>
      <c r="B26" s="2">
        <v>48.21</v>
      </c>
      <c r="C26" s="2">
        <f t="shared" si="0"/>
        <v>2.9028815368196358E-2</v>
      </c>
      <c r="D26" s="2">
        <f t="shared" si="1"/>
        <v>4.0180445773805487E-2</v>
      </c>
      <c r="E26" s="2">
        <v>20.440000000000001</v>
      </c>
      <c r="F26" s="2">
        <f t="shared" si="2"/>
        <v>-9.9162626707800794E-2</v>
      </c>
      <c r="G26" s="2">
        <f t="shared" si="3"/>
        <v>-1.5832227789018619E-2</v>
      </c>
      <c r="H26" s="2">
        <f t="shared" si="4"/>
        <v>-6.3614597015519898E-4</v>
      </c>
    </row>
    <row r="27" spans="1:9" x14ac:dyDescent="0.2">
      <c r="A27" s="6">
        <v>36831</v>
      </c>
      <c r="B27" s="2">
        <v>46.85</v>
      </c>
      <c r="C27" s="2">
        <f t="shared" si="0"/>
        <v>-0.19598421142955211</v>
      </c>
      <c r="D27" s="2">
        <f t="shared" si="1"/>
        <v>-0.18483258102394298</v>
      </c>
      <c r="E27" s="2">
        <v>22.69</v>
      </c>
      <c r="F27" s="2">
        <f t="shared" si="2"/>
        <v>-0.40477439664218251</v>
      </c>
      <c r="G27" s="2">
        <f t="shared" si="3"/>
        <v>-0.32144399772340032</v>
      </c>
      <c r="H27" s="2">
        <f t="shared" si="4"/>
        <v>5.9413323753870532E-2</v>
      </c>
    </row>
    <row r="28" spans="1:9" x14ac:dyDescent="0.2">
      <c r="A28" s="6">
        <v>36801</v>
      </c>
      <c r="B28" s="2">
        <v>58.27</v>
      </c>
      <c r="C28" s="2" t="s">
        <v>19</v>
      </c>
      <c r="E28" s="2">
        <v>38.119999999999997</v>
      </c>
      <c r="F28" s="2" t="s">
        <v>19</v>
      </c>
    </row>
    <row r="29" spans="1:9" x14ac:dyDescent="0.2">
      <c r="B29" s="4" t="s">
        <v>20</v>
      </c>
      <c r="C29" s="2">
        <f>SUM(C5:C27)/23</f>
        <v>-1.1151630405609131E-2</v>
      </c>
      <c r="E29" s="4" t="s">
        <v>20</v>
      </c>
      <c r="F29" s="2">
        <f>SUM(F5:F27)/23</f>
        <v>-8.3330398918782175E-2</v>
      </c>
      <c r="G29" s="15" t="s">
        <v>50</v>
      </c>
      <c r="H29" s="2">
        <f>SUM(H5:H27)/23</f>
        <v>1.3412584766907487E-2</v>
      </c>
      <c r="I29" s="4" t="s">
        <v>51</v>
      </c>
    </row>
    <row r="30" spans="1:9" x14ac:dyDescent="0.2">
      <c r="G30" s="4" t="s">
        <v>52</v>
      </c>
      <c r="H30" s="2">
        <f>'[1]Standard Deviation of Returns'!G10</f>
        <v>1.2060595701261263E-2</v>
      </c>
    </row>
    <row r="31" spans="1:9" ht="15.75" x14ac:dyDescent="0.25">
      <c r="A31" s="5"/>
      <c r="G31" s="4" t="s">
        <v>53</v>
      </c>
      <c r="H31" s="2">
        <f>'[1]Standard Deviation of Returns'!G38</f>
        <v>6.3410123637947832E-2</v>
      </c>
    </row>
    <row r="32" spans="1:9" x14ac:dyDescent="0.2">
      <c r="G32" s="4" t="s">
        <v>54</v>
      </c>
      <c r="H32" s="2">
        <f>'[1]Standard Deviation of Returns'!G11</f>
        <v>0.10982074349257186</v>
      </c>
    </row>
    <row r="33" spans="1:9" x14ac:dyDescent="0.2">
      <c r="A33" s="6"/>
      <c r="F33" s="7"/>
      <c r="G33" s="4" t="s">
        <v>55</v>
      </c>
      <c r="H33" s="2">
        <f>'[1]Standard Deviation of Returns'!G39</f>
        <v>0.25181366848911885</v>
      </c>
    </row>
    <row r="34" spans="1:9" x14ac:dyDescent="0.2">
      <c r="A34" s="6"/>
      <c r="F34" s="7"/>
      <c r="G34" s="4" t="s">
        <v>56</v>
      </c>
      <c r="H34" s="2">
        <f>H29/(H32*H33)</f>
        <v>0.48500788605363132</v>
      </c>
      <c r="I34" s="4" t="s">
        <v>57</v>
      </c>
    </row>
    <row r="35" spans="1:9" x14ac:dyDescent="0.2">
      <c r="A35" s="6"/>
      <c r="F35" s="7"/>
      <c r="H35" s="2">
        <f>H34^2</f>
        <v>0.23523264953421222</v>
      </c>
      <c r="I35" s="4" t="s">
        <v>58</v>
      </c>
    </row>
    <row r="36" spans="1:9" x14ac:dyDescent="0.2">
      <c r="A36" s="6"/>
      <c r="F36" s="7"/>
    </row>
    <row r="37" spans="1:9" x14ac:dyDescent="0.2">
      <c r="A37" s="6"/>
      <c r="F37" s="7"/>
    </row>
    <row r="38" spans="1:9" x14ac:dyDescent="0.2">
      <c r="A38" s="6"/>
      <c r="F38" s="7"/>
    </row>
    <row r="39" spans="1:9" x14ac:dyDescent="0.2">
      <c r="A39" s="6"/>
      <c r="F39" s="7"/>
    </row>
    <row r="40" spans="1:9" x14ac:dyDescent="0.2">
      <c r="A40" s="6"/>
      <c r="F40" s="7"/>
    </row>
    <row r="41" spans="1:9" x14ac:dyDescent="0.2">
      <c r="A41" s="6"/>
    </row>
    <row r="42" spans="1:9" x14ac:dyDescent="0.2">
      <c r="A42" s="6"/>
    </row>
    <row r="43" spans="1:9" x14ac:dyDescent="0.2">
      <c r="A43" s="6"/>
    </row>
    <row r="44" spans="1:9" x14ac:dyDescent="0.2">
      <c r="A44" s="6"/>
    </row>
    <row r="45" spans="1:9" x14ac:dyDescent="0.2">
      <c r="A45" s="6"/>
    </row>
    <row r="46" spans="1:9" x14ac:dyDescent="0.2">
      <c r="A46" s="6"/>
    </row>
    <row r="47" spans="1:9" x14ac:dyDescent="0.2">
      <c r="A47" s="6"/>
    </row>
    <row r="48" spans="1:9" x14ac:dyDescent="0.2">
      <c r="A48" s="6"/>
    </row>
    <row r="49" spans="1:1" x14ac:dyDescent="0.2">
      <c r="A49" s="6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6"/>
    </row>
    <row r="55" spans="1:1" x14ac:dyDescent="0.2">
      <c r="A55" s="6"/>
    </row>
    <row r="56" spans="1:1" x14ac:dyDescent="0.2">
      <c r="A56" s="6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840A-D15D-4494-B20A-C49F8B682894}">
  <dimension ref="A1:H49"/>
  <sheetViews>
    <sheetView topLeftCell="C1" workbookViewId="0">
      <selection activeCell="B3" sqref="B3"/>
    </sheetView>
  </sheetViews>
  <sheetFormatPr defaultRowHeight="12.75" x14ac:dyDescent="0.2"/>
  <cols>
    <col min="1" max="1" width="7.42578125" style="2" customWidth="1"/>
    <col min="2" max="2" width="5.5703125" style="2" customWidth="1"/>
    <col min="3" max="3" width="9.140625" style="2"/>
    <col min="4" max="4" width="7" style="2" customWidth="1"/>
    <col min="5" max="5" width="9.140625" style="2"/>
    <col min="6" max="6" width="6" style="2" customWidth="1"/>
    <col min="7" max="7" width="4.7109375" style="2" customWidth="1"/>
    <col min="8" max="16384" width="9.140625" style="2"/>
  </cols>
  <sheetData>
    <row r="1" spans="1:8" ht="18" x14ac:dyDescent="0.25">
      <c r="A1" s="1" t="s">
        <v>59</v>
      </c>
    </row>
    <row r="2" spans="1:8" x14ac:dyDescent="0.2">
      <c r="B2" s="7" t="s">
        <v>60</v>
      </c>
    </row>
    <row r="3" spans="1:8" x14ac:dyDescent="0.2">
      <c r="A3" s="4" t="s">
        <v>61</v>
      </c>
      <c r="B3" s="2">
        <v>7.0000000000000007E-2</v>
      </c>
      <c r="C3" s="4" t="s">
        <v>62</v>
      </c>
      <c r="D3" s="2">
        <v>0.2</v>
      </c>
      <c r="E3" s="4" t="s">
        <v>63</v>
      </c>
      <c r="F3" s="2">
        <v>-0.06</v>
      </c>
      <c r="G3" s="4" t="s">
        <v>64</v>
      </c>
      <c r="H3" s="2">
        <v>0.03</v>
      </c>
    </row>
    <row r="4" spans="1:8" x14ac:dyDescent="0.2">
      <c r="A4" s="4" t="s">
        <v>65</v>
      </c>
      <c r="B4" s="2">
        <v>0.11</v>
      </c>
      <c r="C4" s="4" t="s">
        <v>66</v>
      </c>
      <c r="D4" s="2">
        <v>0.6</v>
      </c>
    </row>
    <row r="6" spans="1:8" ht="15.75" x14ac:dyDescent="0.25">
      <c r="A6" s="16" t="s">
        <v>67</v>
      </c>
      <c r="B6" s="16" t="s">
        <v>68</v>
      </c>
      <c r="C6" s="17" t="s">
        <v>69</v>
      </c>
      <c r="D6" s="16" t="s">
        <v>70</v>
      </c>
    </row>
    <row r="7" spans="1:8" x14ac:dyDescent="0.2">
      <c r="A7" s="4">
        <v>1</v>
      </c>
      <c r="B7" s="4">
        <f t="shared" ref="B7:B27" si="0">1-A7</f>
        <v>0</v>
      </c>
      <c r="C7" s="4">
        <f t="shared" ref="C7:C27" si="1">(A7^2*D$3^2+B7^2*D$4^2+2*A7*B7*F$3)^0.5</f>
        <v>0.2</v>
      </c>
      <c r="D7" s="4">
        <f t="shared" ref="D7:D27" si="2">A7*B$3+B7*B$4</f>
        <v>7.0000000000000007E-2</v>
      </c>
    </row>
    <row r="8" spans="1:8" x14ac:dyDescent="0.2">
      <c r="A8" s="4">
        <f t="shared" ref="A8:A26" si="3">A7-0.05</f>
        <v>0.95</v>
      </c>
      <c r="B8" s="4">
        <f t="shared" si="0"/>
        <v>5.0000000000000044E-2</v>
      </c>
      <c r="C8" s="4">
        <f t="shared" si="1"/>
        <v>0.17691806012954134</v>
      </c>
      <c r="D8" s="4">
        <f t="shared" si="2"/>
        <v>7.2000000000000008E-2</v>
      </c>
    </row>
    <row r="9" spans="1:8" x14ac:dyDescent="0.2">
      <c r="A9" s="4">
        <f t="shared" si="3"/>
        <v>0.89999999999999991</v>
      </c>
      <c r="B9" s="4">
        <f t="shared" si="0"/>
        <v>0.10000000000000009</v>
      </c>
      <c r="C9" s="4">
        <f t="shared" si="1"/>
        <v>0.15874507866387544</v>
      </c>
      <c r="D9" s="4">
        <f t="shared" si="2"/>
        <v>7.400000000000001E-2</v>
      </c>
    </row>
    <row r="10" spans="1:8" x14ac:dyDescent="0.2">
      <c r="A10" s="4">
        <f t="shared" si="3"/>
        <v>0.84999999999999987</v>
      </c>
      <c r="B10" s="4">
        <f t="shared" si="0"/>
        <v>0.15000000000000013</v>
      </c>
      <c r="C10" s="4">
        <f t="shared" si="1"/>
        <v>0.14730919862656236</v>
      </c>
      <c r="D10" s="4">
        <f t="shared" si="2"/>
        <v>7.6000000000000012E-2</v>
      </c>
    </row>
    <row r="11" spans="1:8" x14ac:dyDescent="0.2">
      <c r="A11" s="4">
        <f t="shared" si="3"/>
        <v>0.79999999999999982</v>
      </c>
      <c r="B11" s="4">
        <f t="shared" si="0"/>
        <v>0.20000000000000018</v>
      </c>
      <c r="C11" s="4">
        <f t="shared" si="1"/>
        <v>0.14422205101855959</v>
      </c>
      <c r="D11" s="4">
        <f t="shared" si="2"/>
        <v>7.8000000000000014E-2</v>
      </c>
    </row>
    <row r="12" spans="1:8" x14ac:dyDescent="0.2">
      <c r="A12" s="4">
        <f t="shared" si="3"/>
        <v>0.74999999999999978</v>
      </c>
      <c r="B12" s="4">
        <f t="shared" si="0"/>
        <v>0.25000000000000022</v>
      </c>
      <c r="C12" s="4">
        <f t="shared" si="1"/>
        <v>0.15000000000000008</v>
      </c>
      <c r="D12" s="4">
        <f t="shared" si="2"/>
        <v>8.0000000000000016E-2</v>
      </c>
    </row>
    <row r="13" spans="1:8" x14ac:dyDescent="0.2">
      <c r="A13" s="4">
        <f t="shared" si="3"/>
        <v>0.69999999999999973</v>
      </c>
      <c r="B13" s="4">
        <f t="shared" si="0"/>
        <v>0.30000000000000027</v>
      </c>
      <c r="C13" s="4">
        <f t="shared" si="1"/>
        <v>0.16370705543744909</v>
      </c>
      <c r="D13" s="4">
        <f t="shared" si="2"/>
        <v>8.2000000000000017E-2</v>
      </c>
      <c r="E13" s="8"/>
      <c r="F13" s="7"/>
    </row>
    <row r="14" spans="1:8" x14ac:dyDescent="0.2">
      <c r="A14" s="4">
        <f t="shared" si="3"/>
        <v>0.64999999999999969</v>
      </c>
      <c r="B14" s="4">
        <f t="shared" si="0"/>
        <v>0.35000000000000031</v>
      </c>
      <c r="C14" s="4">
        <f t="shared" si="1"/>
        <v>0.18357559750685837</v>
      </c>
      <c r="D14" s="4">
        <f t="shared" si="2"/>
        <v>8.4000000000000019E-2</v>
      </c>
      <c r="E14" s="8"/>
    </row>
    <row r="15" spans="1:8" x14ac:dyDescent="0.2">
      <c r="A15" s="4">
        <f t="shared" si="3"/>
        <v>0.59999999999999964</v>
      </c>
      <c r="B15" s="4">
        <f t="shared" si="0"/>
        <v>0.40000000000000036</v>
      </c>
      <c r="C15" s="4">
        <f t="shared" si="1"/>
        <v>0.20784609690826544</v>
      </c>
      <c r="D15" s="4">
        <f t="shared" si="2"/>
        <v>8.6000000000000021E-2</v>
      </c>
    </row>
    <row r="16" spans="1:8" x14ac:dyDescent="0.2">
      <c r="A16" s="4">
        <f t="shared" si="3"/>
        <v>0.5499999999999996</v>
      </c>
      <c r="B16" s="4">
        <f t="shared" si="0"/>
        <v>0.4500000000000004</v>
      </c>
      <c r="C16" s="4">
        <f t="shared" si="1"/>
        <v>0.23515952032609716</v>
      </c>
      <c r="D16" s="4">
        <f t="shared" si="2"/>
        <v>8.8000000000000023E-2</v>
      </c>
    </row>
    <row r="17" spans="1:6" x14ac:dyDescent="0.2">
      <c r="A17" s="4">
        <f t="shared" si="3"/>
        <v>0.49999999999999961</v>
      </c>
      <c r="B17" s="4">
        <f t="shared" si="0"/>
        <v>0.50000000000000044</v>
      </c>
      <c r="C17" s="4">
        <f t="shared" si="1"/>
        <v>0.26457513110645936</v>
      </c>
      <c r="D17" s="4">
        <f t="shared" si="2"/>
        <v>9.0000000000000024E-2</v>
      </c>
    </row>
    <row r="18" spans="1:6" x14ac:dyDescent="0.2">
      <c r="A18" s="4">
        <f t="shared" si="3"/>
        <v>0.44999999999999962</v>
      </c>
      <c r="B18" s="4">
        <f t="shared" si="0"/>
        <v>0.55000000000000038</v>
      </c>
      <c r="C18" s="4">
        <f t="shared" si="1"/>
        <v>0.29546573405388338</v>
      </c>
      <c r="D18" s="4">
        <f t="shared" si="2"/>
        <v>9.2000000000000026E-2</v>
      </c>
    </row>
    <row r="19" spans="1:6" x14ac:dyDescent="0.2">
      <c r="A19" s="4">
        <f t="shared" si="3"/>
        <v>0.39999999999999963</v>
      </c>
      <c r="B19" s="4">
        <f t="shared" si="0"/>
        <v>0.60000000000000031</v>
      </c>
      <c r="C19" s="4">
        <f t="shared" si="1"/>
        <v>0.32741411087489819</v>
      </c>
      <c r="D19" s="4">
        <f t="shared" si="2"/>
        <v>9.4E-2</v>
      </c>
      <c r="F19" s="7"/>
    </row>
    <row r="20" spans="1:6" x14ac:dyDescent="0.2">
      <c r="A20" s="4">
        <f t="shared" si="3"/>
        <v>0.34999999999999964</v>
      </c>
      <c r="B20" s="4">
        <f t="shared" si="0"/>
        <v>0.65000000000000036</v>
      </c>
      <c r="C20" s="4">
        <f t="shared" si="1"/>
        <v>0.36013886210738238</v>
      </c>
      <c r="D20" s="4">
        <f t="shared" si="2"/>
        <v>9.6000000000000016E-2</v>
      </c>
      <c r="F20" s="7"/>
    </row>
    <row r="21" spans="1:6" x14ac:dyDescent="0.2">
      <c r="A21" s="4">
        <f t="shared" si="3"/>
        <v>0.29999999999999966</v>
      </c>
      <c r="B21" s="4">
        <f t="shared" si="0"/>
        <v>0.7000000000000004</v>
      </c>
      <c r="C21" s="4">
        <f t="shared" si="1"/>
        <v>0.39344631145812031</v>
      </c>
      <c r="D21" s="4">
        <f t="shared" si="2"/>
        <v>9.8000000000000018E-2</v>
      </c>
      <c r="F21" s="7"/>
    </row>
    <row r="22" spans="1:6" x14ac:dyDescent="0.2">
      <c r="A22" s="4">
        <f t="shared" si="3"/>
        <v>0.24999999999999967</v>
      </c>
      <c r="B22" s="4">
        <f t="shared" si="0"/>
        <v>0.75000000000000033</v>
      </c>
      <c r="C22" s="4">
        <f t="shared" si="1"/>
        <v>0.42720018726587677</v>
      </c>
      <c r="D22" s="4">
        <f t="shared" si="2"/>
        <v>0.1</v>
      </c>
    </row>
    <row r="23" spans="1:6" x14ac:dyDescent="0.2">
      <c r="A23" s="4">
        <f t="shared" si="3"/>
        <v>0.19999999999999968</v>
      </c>
      <c r="B23" s="4">
        <f t="shared" si="0"/>
        <v>0.80000000000000027</v>
      </c>
      <c r="C23" s="4">
        <f t="shared" si="1"/>
        <v>0.46130250378683202</v>
      </c>
      <c r="D23" s="4">
        <f t="shared" si="2"/>
        <v>0.10200000000000002</v>
      </c>
    </row>
    <row r="24" spans="1:6" x14ac:dyDescent="0.2">
      <c r="A24" s="4">
        <f t="shared" si="3"/>
        <v>0.14999999999999969</v>
      </c>
      <c r="B24" s="4">
        <f t="shared" si="0"/>
        <v>0.85000000000000031</v>
      </c>
      <c r="C24" s="4">
        <f t="shared" si="1"/>
        <v>0.49568134925574936</v>
      </c>
      <c r="D24" s="4">
        <f t="shared" si="2"/>
        <v>0.10400000000000002</v>
      </c>
    </row>
    <row r="25" spans="1:6" x14ac:dyDescent="0.2">
      <c r="A25" s="4">
        <f t="shared" si="3"/>
        <v>9.9999999999999686E-2</v>
      </c>
      <c r="B25" s="4">
        <f t="shared" si="0"/>
        <v>0.90000000000000036</v>
      </c>
      <c r="C25" s="4">
        <f t="shared" si="1"/>
        <v>0.53028294334251425</v>
      </c>
      <c r="D25" s="4">
        <f t="shared" si="2"/>
        <v>0.10600000000000002</v>
      </c>
    </row>
    <row r="26" spans="1:6" x14ac:dyDescent="0.2">
      <c r="A26" s="4">
        <f t="shared" si="3"/>
        <v>4.9999999999999684E-2</v>
      </c>
      <c r="B26" s="4">
        <f t="shared" si="0"/>
        <v>0.95000000000000029</v>
      </c>
      <c r="C26" s="4">
        <f t="shared" si="1"/>
        <v>0.56506636778346686</v>
      </c>
      <c r="D26" s="4">
        <f t="shared" si="2"/>
        <v>0.10800000000000001</v>
      </c>
    </row>
    <row r="27" spans="1:6" x14ac:dyDescent="0.2">
      <c r="A27" s="4">
        <v>0</v>
      </c>
      <c r="B27" s="4">
        <f t="shared" si="0"/>
        <v>1</v>
      </c>
      <c r="C27" s="4">
        <f t="shared" si="1"/>
        <v>0.6</v>
      </c>
      <c r="D27" s="4">
        <f t="shared" si="2"/>
        <v>0.11</v>
      </c>
    </row>
    <row r="29" spans="1:6" ht="15.75" x14ac:dyDescent="0.25">
      <c r="A29" s="18"/>
    </row>
    <row r="30" spans="1:6" x14ac:dyDescent="0.2">
      <c r="B30" s="7"/>
    </row>
    <row r="34" spans="1:6" ht="15.75" x14ac:dyDescent="0.25">
      <c r="A34" s="7"/>
      <c r="B34" s="7"/>
      <c r="C34" s="7"/>
      <c r="D34" s="19"/>
      <c r="E34" s="7"/>
    </row>
    <row r="41" spans="1:6" x14ac:dyDescent="0.2">
      <c r="F41" s="7"/>
    </row>
    <row r="47" spans="1:6" x14ac:dyDescent="0.2">
      <c r="F47" s="7"/>
    </row>
    <row r="48" spans="1:6" x14ac:dyDescent="0.2">
      <c r="F48" s="7"/>
    </row>
    <row r="49" spans="6:6" x14ac:dyDescent="0.2">
      <c r="F49" s="7"/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A526-2D3A-48D1-B16A-17013A13BA7B}">
  <dimension ref="A1:N26"/>
  <sheetViews>
    <sheetView workbookViewId="0">
      <selection activeCell="A2" sqref="A2:I3"/>
    </sheetView>
  </sheetViews>
  <sheetFormatPr defaultRowHeight="12.75" x14ac:dyDescent="0.2"/>
  <cols>
    <col min="1" max="1" width="15" style="23" customWidth="1"/>
    <col min="2" max="16384" width="9.140625" style="23"/>
  </cols>
  <sheetData>
    <row r="1" spans="1:14" ht="22.5" x14ac:dyDescent="0.35">
      <c r="A1" s="21" t="s">
        <v>119</v>
      </c>
      <c r="B1" s="22"/>
      <c r="C1" s="22"/>
      <c r="D1" s="22"/>
      <c r="E1" s="22"/>
      <c r="F1" s="22"/>
    </row>
    <row r="2" spans="1:14" x14ac:dyDescent="0.2">
      <c r="A2" s="23" t="s">
        <v>120</v>
      </c>
    </row>
    <row r="3" spans="1:14" x14ac:dyDescent="0.2">
      <c r="A3" s="23" t="s">
        <v>121</v>
      </c>
    </row>
    <row r="4" spans="1:14" x14ac:dyDescent="0.2">
      <c r="A4" s="24" t="s">
        <v>122</v>
      </c>
      <c r="C4" s="24" t="s">
        <v>123</v>
      </c>
    </row>
    <row r="5" spans="1:14" ht="18" x14ac:dyDescent="0.25">
      <c r="A5" s="25">
        <v>0.2</v>
      </c>
      <c r="B5" s="25"/>
      <c r="C5" s="25">
        <v>0.01</v>
      </c>
      <c r="D5" s="25">
        <v>0</v>
      </c>
      <c r="E5" s="25">
        <v>0.02</v>
      </c>
      <c r="F5" s="26"/>
      <c r="G5" s="23" t="s">
        <v>124</v>
      </c>
      <c r="H5" s="27"/>
    </row>
    <row r="6" spans="1:14" ht="18" x14ac:dyDescent="0.25">
      <c r="A6" s="25">
        <v>0.3</v>
      </c>
      <c r="B6" s="25"/>
      <c r="C6" s="25">
        <v>0</v>
      </c>
      <c r="D6" s="25">
        <v>0.04</v>
      </c>
      <c r="E6" s="25">
        <v>0.03</v>
      </c>
      <c r="F6" s="26"/>
      <c r="G6" s="23" t="s">
        <v>125</v>
      </c>
    </row>
    <row r="7" spans="1:14" ht="18" x14ac:dyDescent="0.25">
      <c r="A7" s="25">
        <v>0.5</v>
      </c>
      <c r="B7" s="25"/>
      <c r="C7" s="25">
        <v>0.02</v>
      </c>
      <c r="D7" s="25">
        <v>0.03</v>
      </c>
      <c r="E7" s="25">
        <v>0.09</v>
      </c>
      <c r="F7" s="26"/>
      <c r="G7" s="23" t="s">
        <v>126</v>
      </c>
    </row>
    <row r="8" spans="1:14" ht="18" x14ac:dyDescent="0.25">
      <c r="A8" s="26" t="s">
        <v>127</v>
      </c>
      <c r="B8" s="26"/>
      <c r="C8" s="26"/>
      <c r="D8" s="26" t="s">
        <v>128</v>
      </c>
      <c r="E8" s="26"/>
      <c r="F8" s="26"/>
      <c r="G8" s="26"/>
      <c r="H8" s="26"/>
      <c r="I8" s="26"/>
      <c r="J8" s="26"/>
    </row>
    <row r="9" spans="1:14" ht="18" x14ac:dyDescent="0.25">
      <c r="A9" s="26"/>
      <c r="B9" s="26"/>
      <c r="C9" s="26"/>
      <c r="D9" s="26"/>
      <c r="E9" s="26"/>
      <c r="F9" s="26"/>
      <c r="G9" s="23" t="s">
        <v>129</v>
      </c>
      <c r="H9" s="26"/>
      <c r="I9" s="26"/>
      <c r="J9" s="26"/>
    </row>
    <row r="10" spans="1:14" ht="18" x14ac:dyDescent="0.25">
      <c r="A10" s="26"/>
      <c r="B10" s="26"/>
      <c r="C10" s="26"/>
      <c r="D10" s="25">
        <f t="shared" ref="D10:F12" si="0">C5</f>
        <v>0.01</v>
      </c>
      <c r="E10" s="25">
        <f t="shared" si="0"/>
        <v>0</v>
      </c>
      <c r="F10" s="25">
        <f t="shared" si="0"/>
        <v>0.02</v>
      </c>
      <c r="G10" s="26"/>
      <c r="H10" s="26"/>
      <c r="I10" s="26"/>
      <c r="J10" s="26"/>
    </row>
    <row r="11" spans="1:14" ht="18" x14ac:dyDescent="0.25">
      <c r="A11" s="25">
        <f>A5</f>
        <v>0.2</v>
      </c>
      <c r="B11" s="25">
        <f>A6</f>
        <v>0.3</v>
      </c>
      <c r="C11" s="25">
        <f>A7</f>
        <v>0.5</v>
      </c>
      <c r="D11" s="25">
        <f t="shared" si="0"/>
        <v>0</v>
      </c>
      <c r="E11" s="25">
        <f t="shared" si="0"/>
        <v>0.04</v>
      </c>
      <c r="F11" s="25">
        <f t="shared" si="0"/>
        <v>0.03</v>
      </c>
      <c r="G11" s="26" t="s">
        <v>130</v>
      </c>
      <c r="H11" s="25">
        <f t="array" ref="H11:J11">MMULT(A11:C11,D10:F12)</f>
        <v>1.2E-2</v>
      </c>
      <c r="I11" s="25">
        <v>2.7E-2</v>
      </c>
      <c r="J11" s="25">
        <v>5.7999999999999996E-2</v>
      </c>
      <c r="K11" s="26"/>
      <c r="L11" s="26"/>
      <c r="M11" s="26"/>
      <c r="N11" s="26"/>
    </row>
    <row r="12" spans="1:14" ht="18" x14ac:dyDescent="0.25">
      <c r="A12" s="26"/>
      <c r="B12" s="26" t="s">
        <v>131</v>
      </c>
      <c r="C12" s="26"/>
      <c r="D12" s="25">
        <f t="shared" si="0"/>
        <v>0.02</v>
      </c>
      <c r="E12" s="25">
        <f t="shared" si="0"/>
        <v>0.03</v>
      </c>
      <c r="F12" s="25">
        <f t="shared" si="0"/>
        <v>0.09</v>
      </c>
      <c r="G12" s="26"/>
      <c r="H12" s="26"/>
      <c r="I12" s="26" t="s">
        <v>132</v>
      </c>
      <c r="J12" s="26"/>
      <c r="K12" s="26"/>
      <c r="L12" s="26"/>
      <c r="M12" s="26"/>
      <c r="N12" s="26"/>
    </row>
    <row r="13" spans="1:14" ht="18" x14ac:dyDescent="0.25">
      <c r="A13" s="26"/>
      <c r="B13" s="26"/>
      <c r="C13" s="26"/>
      <c r="D13" s="26"/>
      <c r="E13" s="26" t="s">
        <v>133</v>
      </c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8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8" x14ac:dyDescent="0.25">
      <c r="A15" s="26"/>
      <c r="B15" s="26"/>
      <c r="C15" s="26"/>
      <c r="D15" s="25">
        <f>A5</f>
        <v>0.2</v>
      </c>
      <c r="E15" s="25"/>
      <c r="F15" s="25"/>
      <c r="G15" s="23" t="s">
        <v>134</v>
      </c>
      <c r="H15" s="26"/>
      <c r="I15" s="26"/>
      <c r="J15" s="26"/>
      <c r="K15" s="26"/>
      <c r="L15" s="26"/>
      <c r="M15" s="26"/>
      <c r="N15" s="26"/>
    </row>
    <row r="16" spans="1:14" ht="18" x14ac:dyDescent="0.25">
      <c r="A16" s="25">
        <f>H11</f>
        <v>1.2E-2</v>
      </c>
      <c r="B16" s="25">
        <f>I11</f>
        <v>2.7E-2</v>
      </c>
      <c r="C16" s="25">
        <f>J11</f>
        <v>5.7999999999999996E-2</v>
      </c>
      <c r="D16" s="25">
        <f>A6</f>
        <v>0.3</v>
      </c>
      <c r="E16" s="26" t="s">
        <v>130</v>
      </c>
      <c r="F16" s="25">
        <f t="array" ref="F16">MMULT(A16:C16,D15:D17)</f>
        <v>3.9499999999999993E-2</v>
      </c>
      <c r="G16" s="26" t="s">
        <v>135</v>
      </c>
      <c r="H16" s="26"/>
      <c r="J16" s="26"/>
      <c r="K16" s="26"/>
      <c r="L16" s="26"/>
      <c r="M16" s="26"/>
      <c r="N16" s="26"/>
    </row>
    <row r="17" spans="1:14" ht="18" x14ac:dyDescent="0.25">
      <c r="A17" s="26"/>
      <c r="B17" s="26" t="s">
        <v>132</v>
      </c>
      <c r="C17" s="26"/>
      <c r="D17" s="25">
        <f>A7</f>
        <v>0.5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</row>
    <row r="18" spans="1:14" ht="18" x14ac:dyDescent="0.25">
      <c r="A18" s="26"/>
      <c r="B18" s="26"/>
      <c r="C18" s="26"/>
      <c r="D18" s="26" t="s">
        <v>136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8" x14ac:dyDescent="0.25">
      <c r="F19" s="23" t="s">
        <v>137</v>
      </c>
      <c r="I19" s="26"/>
      <c r="J19" s="26"/>
      <c r="K19" s="26"/>
      <c r="L19" s="26"/>
      <c r="M19" s="26"/>
      <c r="N19" s="26"/>
    </row>
    <row r="20" spans="1:14" ht="18" x14ac:dyDescent="0.25">
      <c r="F20" s="25">
        <f>F16^0.5</f>
        <v>0.19874606914351789</v>
      </c>
      <c r="G20" s="26" t="s">
        <v>138</v>
      </c>
      <c r="I20" s="26"/>
      <c r="J20" s="26"/>
      <c r="K20" s="26"/>
      <c r="L20" s="26"/>
      <c r="M20" s="26"/>
      <c r="N20" s="26"/>
    </row>
    <row r="21" spans="1:14" ht="18" x14ac:dyDescent="0.25">
      <c r="I21" s="26"/>
      <c r="J21" s="26"/>
      <c r="K21" s="26"/>
      <c r="L21" s="26"/>
      <c r="M21" s="26"/>
      <c r="N21" s="26"/>
    </row>
    <row r="22" spans="1:14" ht="18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8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8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8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8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</sheetData>
  <pageMargins left="0.75" right="0.75" top="1" bottom="1" header="0.5" footer="0.5"/>
  <pageSetup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637D-683B-438C-8161-ECEEC45EAB23}">
  <dimension ref="A1:D31"/>
  <sheetViews>
    <sheetView workbookViewId="0">
      <selection activeCell="C13" sqref="C13"/>
    </sheetView>
  </sheetViews>
  <sheetFormatPr defaultRowHeight="12.75" x14ac:dyDescent="0.2"/>
  <cols>
    <col min="1" max="1" width="13.85546875" style="2" customWidth="1"/>
    <col min="2" max="2" width="13.85546875" style="2" hidden="1" customWidth="1"/>
    <col min="3" max="16384" width="9.140625" style="2"/>
  </cols>
  <sheetData>
    <row r="1" spans="1:4" ht="18" x14ac:dyDescent="0.25">
      <c r="A1" s="1" t="s">
        <v>71</v>
      </c>
      <c r="B1" s="1"/>
    </row>
    <row r="2" spans="1:4" x14ac:dyDescent="0.2">
      <c r="A2" s="2" t="s">
        <v>72</v>
      </c>
    </row>
    <row r="3" spans="1:4" x14ac:dyDescent="0.2">
      <c r="A3" s="2" t="s">
        <v>73</v>
      </c>
    </row>
    <row r="4" spans="1:4" x14ac:dyDescent="0.2">
      <c r="A4" s="2" t="s">
        <v>74</v>
      </c>
    </row>
    <row r="5" spans="1:4" x14ac:dyDescent="0.2">
      <c r="A5" s="2" t="s">
        <v>75</v>
      </c>
    </row>
    <row r="6" spans="1:4" x14ac:dyDescent="0.2">
      <c r="A6" s="2" t="s">
        <v>76</v>
      </c>
    </row>
    <row r="7" spans="1:4" x14ac:dyDescent="0.2">
      <c r="A7" s="2" t="s">
        <v>77</v>
      </c>
    </row>
    <row r="8" spans="1:4" x14ac:dyDescent="0.2">
      <c r="A8" s="2" t="s">
        <v>78</v>
      </c>
    </row>
    <row r="10" spans="1:4" x14ac:dyDescent="0.2">
      <c r="A10" s="7" t="s">
        <v>79</v>
      </c>
      <c r="B10" s="7"/>
    </row>
    <row r="11" spans="1:4" x14ac:dyDescent="0.2">
      <c r="A11" s="2" t="s">
        <v>80</v>
      </c>
      <c r="C11" s="4">
        <v>0.4</v>
      </c>
    </row>
    <row r="12" spans="1:4" x14ac:dyDescent="0.2">
      <c r="A12" s="2" t="s">
        <v>81</v>
      </c>
      <c r="C12" s="4">
        <v>0.4</v>
      </c>
    </row>
    <row r="14" spans="1:4" x14ac:dyDescent="0.2">
      <c r="A14" s="7" t="s">
        <v>82</v>
      </c>
      <c r="B14" s="7"/>
    </row>
    <row r="15" spans="1:4" x14ac:dyDescent="0.2">
      <c r="A15" s="7" t="s">
        <v>83</v>
      </c>
      <c r="B15" s="7"/>
      <c r="C15" s="7" t="s">
        <v>84</v>
      </c>
      <c r="D15" s="7" t="s">
        <v>85</v>
      </c>
    </row>
    <row r="16" spans="1:4" x14ac:dyDescent="0.2">
      <c r="A16" s="2" t="s">
        <v>86</v>
      </c>
      <c r="B16" s="2">
        <v>1</v>
      </c>
      <c r="C16" s="2">
        <f>C11</f>
        <v>0.4</v>
      </c>
      <c r="D16" s="2">
        <f>(C$16-C16)/(C$16-C$28)</f>
        <v>0</v>
      </c>
    </row>
    <row r="17" spans="1:4" x14ac:dyDescent="0.2">
      <c r="A17" s="2" t="s">
        <v>87</v>
      </c>
      <c r="B17" s="2">
        <v>2</v>
      </c>
      <c r="C17" s="2">
        <f>(0.5*C$11^2+2*C$11^2*0.25*C$12)^0.5</f>
        <v>0.33466401061363027</v>
      </c>
      <c r="D17" s="2">
        <f>(C$16-C17)/(C$16-C$28)*100</f>
        <v>44.440879616518039</v>
      </c>
    </row>
    <row r="18" spans="1:4" x14ac:dyDescent="0.2">
      <c r="A18" s="2" t="s">
        <v>88</v>
      </c>
      <c r="B18" s="2">
        <v>3</v>
      </c>
      <c r="C18" s="2">
        <f>(0.333333333333*C$11^2+6*C$11^2*0.1111111111*C$12)^0.5</f>
        <v>0.30983866768962204</v>
      </c>
      <c r="D18" s="2">
        <f>(C$16-C18)/(C$16-C$28)*100</f>
        <v>61.326826958654522</v>
      </c>
    </row>
    <row r="19" spans="1:4" x14ac:dyDescent="0.2">
      <c r="A19" s="2" t="s">
        <v>89</v>
      </c>
      <c r="B19" s="2">
        <v>4</v>
      </c>
      <c r="C19" s="2">
        <f>(0.25*C$11^2+12*C$11^2*0.0625*C$12)^0.5</f>
        <v>0.29664793948382656</v>
      </c>
      <c r="D19" s="2">
        <f>(C$16-C19)/(C$16-C$28)*100</f>
        <v>70.299026962872404</v>
      </c>
    </row>
    <row r="20" spans="1:4" x14ac:dyDescent="0.2">
      <c r="A20" s="2" t="s">
        <v>90</v>
      </c>
      <c r="B20" s="2">
        <v>5</v>
      </c>
      <c r="C20" s="2">
        <f>(0.2*C$11^2+20*C$11^2*0.04*C$12)^0.5</f>
        <v>0.28844410203711918</v>
      </c>
      <c r="D20" s="2">
        <f>(C$16-C20)/(C$16-C$28)*100</f>
        <v>75.87919427627449</v>
      </c>
    </row>
    <row r="21" spans="1:4" x14ac:dyDescent="0.2">
      <c r="A21" s="2" t="s">
        <v>91</v>
      </c>
      <c r="B21" s="2">
        <v>10</v>
      </c>
      <c r="C21" s="2">
        <f>(0.1*C$11^2+90*C$11^2*0.01*C$12)^0.5</f>
        <v>0.27129319932501073</v>
      </c>
      <c r="D21" s="2">
        <f>(C$16-C21)/(C$16-C$28)*100</f>
        <v>87.545064953399844</v>
      </c>
    </row>
    <row r="22" spans="1:4" x14ac:dyDescent="0.2">
      <c r="A22" s="2" t="s">
        <v>92</v>
      </c>
      <c r="B22" s="2">
        <v>20</v>
      </c>
      <c r="C22" s="2">
        <f>(1/20*C11^2+(20^2-20)*1/20^2*C11^2*C12)^0.5</f>
        <v>0.26229754097208008</v>
      </c>
      <c r="D22" s="2">
        <f>(C$16-C22)/(C$16-C$28)*100</f>
        <v>93.663820844120551</v>
      </c>
    </row>
    <row r="23" spans="1:4" x14ac:dyDescent="0.2">
      <c r="A23" s="2" t="s">
        <v>93</v>
      </c>
      <c r="B23" s="2">
        <v>30</v>
      </c>
      <c r="C23" s="2">
        <f>(1/30*C11^2+(30^2-30)*1/30^2*C11^2*C12)^0.5</f>
        <v>0.25922962793631443</v>
      </c>
      <c r="D23" s="2">
        <f>(C$16-C23)/(C$16-C$28)*100</f>
        <v>95.750584283029312</v>
      </c>
    </row>
    <row r="24" spans="1:4" x14ac:dyDescent="0.2">
      <c r="A24" s="2" t="s">
        <v>94</v>
      </c>
      <c r="B24" s="2">
        <v>50</v>
      </c>
      <c r="C24" s="2">
        <f>(0.02*C$11^2+2450*C$11^2*0.0004*C$12)^0.5</f>
        <v>0.25674890457409943</v>
      </c>
      <c r="D24" s="2">
        <f>(C$16-C24)/(C$16-C$28)*100</f>
        <v>97.437947240834006</v>
      </c>
    </row>
    <row r="25" spans="1:4" x14ac:dyDescent="0.2">
      <c r="A25" s="2" t="s">
        <v>95</v>
      </c>
      <c r="B25" s="2">
        <v>100</v>
      </c>
      <c r="C25" s="2">
        <f>(0.01*C$11^2+9900*C$11^2*0.0001*C$12)^0.5</f>
        <v>0.25487251715318388</v>
      </c>
      <c r="D25" s="2">
        <f>(C$16-C25)/(C$16-C$28)*100</f>
        <v>98.714246999512696</v>
      </c>
    </row>
    <row r="26" spans="1:4" x14ac:dyDescent="0.2">
      <c r="A26" s="2" t="s">
        <v>96</v>
      </c>
      <c r="B26" s="2">
        <v>1000</v>
      </c>
      <c r="C26" s="2">
        <f>(0.001*C$11^2+999000*C$11^2*0.000001*C$12)^0.5</f>
        <v>0.25317187837514654</v>
      </c>
      <c r="D26" s="2">
        <f>(C$16-C26)/(C$16-C$28)*100</f>
        <v>99.871004307632788</v>
      </c>
    </row>
    <row r="27" spans="1:4" x14ac:dyDescent="0.2">
      <c r="A27" s="2" t="s">
        <v>97</v>
      </c>
      <c r="B27" s="2">
        <v>99999</v>
      </c>
      <c r="C27" s="2">
        <f>(1/99999*C11^2+(99999^2-99999)*1/99999^2*C11^2*C12)^0.5</f>
        <v>0.25298411019192513</v>
      </c>
      <c r="D27" s="2">
        <f>(C$16-C27)/(C$16-C$28)*100</f>
        <v>99.998722328048899</v>
      </c>
    </row>
    <row r="28" spans="1:4" x14ac:dyDescent="0.2">
      <c r="A28" s="2" t="s">
        <v>98</v>
      </c>
      <c r="B28" s="2">
        <v>9999999</v>
      </c>
      <c r="C28" s="2">
        <f>(1/9999999*C11^2+(9999999^2-9999999)*1/9999999^2*C11^2*C12)^0.5</f>
        <v>0.25298223178713752</v>
      </c>
      <c r="D28" s="2">
        <f>(C$16-C28)/(C$16-C$28)*100</f>
        <v>100</v>
      </c>
    </row>
    <row r="29" spans="1:4" x14ac:dyDescent="0.2">
      <c r="A29" s="2" t="s">
        <v>99</v>
      </c>
    </row>
    <row r="30" spans="1:4" x14ac:dyDescent="0.2">
      <c r="A30" s="4">
        <v>6</v>
      </c>
      <c r="B30" s="4"/>
      <c r="C30" s="2">
        <f>(1/A30*C11^2+(A30^2-A30)*1/A30^2*C11^2*C12)^0.5</f>
        <v>0.28284271247461906</v>
      </c>
      <c r="D30" s="20" t="s">
        <v>100</v>
      </c>
    </row>
    <row r="31" spans="1:4" x14ac:dyDescent="0.2">
      <c r="C31" s="2">
        <f>(C$16-C30)/(C$16-C$28)*100</f>
        <v>79.689202842307154</v>
      </c>
      <c r="D31" s="20" t="s">
        <v>101</v>
      </c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00E4-6D7D-43B9-957D-F45F85DEEAB3}">
  <dimension ref="A1:H133"/>
  <sheetViews>
    <sheetView workbookViewId="0">
      <selection activeCell="A2" sqref="A2"/>
    </sheetView>
  </sheetViews>
  <sheetFormatPr defaultRowHeight="12.75" x14ac:dyDescent="0.2"/>
  <cols>
    <col min="1" max="16384" width="9.140625" style="2"/>
  </cols>
  <sheetData>
    <row r="1" spans="1:7" ht="18" x14ac:dyDescent="0.25">
      <c r="A1" s="1" t="s">
        <v>186</v>
      </c>
    </row>
    <row r="3" spans="1:7" x14ac:dyDescent="0.2">
      <c r="A3" s="7" t="s">
        <v>187</v>
      </c>
    </row>
    <row r="4" spans="1:7" x14ac:dyDescent="0.2">
      <c r="A4" s="7" t="s">
        <v>188</v>
      </c>
    </row>
    <row r="6" spans="1:7" x14ac:dyDescent="0.2">
      <c r="A6" s="2" t="s">
        <v>189</v>
      </c>
    </row>
    <row r="7" spans="1:7" x14ac:dyDescent="0.2">
      <c r="A7" s="2" t="s">
        <v>190</v>
      </c>
    </row>
    <row r="8" spans="1:7" x14ac:dyDescent="0.2">
      <c r="A8" s="2" t="s">
        <v>191</v>
      </c>
    </row>
    <row r="10" spans="1:7" x14ac:dyDescent="0.2">
      <c r="B10" s="7" t="s">
        <v>192</v>
      </c>
    </row>
    <row r="11" spans="1:7" x14ac:dyDescent="0.2">
      <c r="A11" s="2" t="s">
        <v>193</v>
      </c>
      <c r="B11" s="2">
        <v>1</v>
      </c>
      <c r="C11" s="2">
        <v>0.05</v>
      </c>
      <c r="D11" s="2">
        <v>0</v>
      </c>
      <c r="E11" s="2">
        <v>0</v>
      </c>
      <c r="F11" s="2">
        <v>0</v>
      </c>
      <c r="G11" s="2">
        <v>0</v>
      </c>
    </row>
    <row r="12" spans="1:7" x14ac:dyDescent="0.2">
      <c r="A12" s="2" t="s">
        <v>194</v>
      </c>
      <c r="B12" s="2">
        <v>2</v>
      </c>
      <c r="C12" s="2">
        <v>0.1</v>
      </c>
      <c r="D12" s="2">
        <v>0</v>
      </c>
      <c r="E12" s="2">
        <v>0.1</v>
      </c>
      <c r="F12" s="2">
        <v>0.01</v>
      </c>
      <c r="G12" s="2">
        <v>0.01</v>
      </c>
    </row>
    <row r="13" spans="1:7" x14ac:dyDescent="0.2">
      <c r="A13" s="2" t="s">
        <v>194</v>
      </c>
      <c r="B13" s="2">
        <v>3</v>
      </c>
      <c r="C13" s="2">
        <v>0.15</v>
      </c>
      <c r="D13" s="2">
        <v>0</v>
      </c>
      <c r="E13" s="2">
        <v>0.01</v>
      </c>
      <c r="F13" s="2">
        <v>0.2</v>
      </c>
      <c r="G13" s="2">
        <v>0</v>
      </c>
    </row>
    <row r="14" spans="1:7" x14ac:dyDescent="0.2">
      <c r="A14" s="2" t="s">
        <v>195</v>
      </c>
      <c r="B14" s="2">
        <v>4</v>
      </c>
      <c r="C14" s="2">
        <v>0.2</v>
      </c>
      <c r="D14" s="2">
        <v>0</v>
      </c>
      <c r="E14" s="2">
        <v>0.01</v>
      </c>
      <c r="F14" s="2">
        <v>0</v>
      </c>
      <c r="G14" s="2">
        <v>0.3</v>
      </c>
    </row>
    <row r="16" spans="1:7" x14ac:dyDescent="0.2">
      <c r="A16" s="2" t="s">
        <v>196</v>
      </c>
    </row>
    <row r="17" spans="1:1" x14ac:dyDescent="0.2">
      <c r="A17" s="2" t="s">
        <v>197</v>
      </c>
    </row>
    <row r="18" spans="1:1" x14ac:dyDescent="0.2">
      <c r="A18" s="2" t="s">
        <v>198</v>
      </c>
    </row>
    <row r="20" spans="1:1" x14ac:dyDescent="0.2">
      <c r="A20" s="7" t="s">
        <v>199</v>
      </c>
    </row>
    <row r="33" spans="1:1" x14ac:dyDescent="0.2">
      <c r="A33" s="2" t="s">
        <v>200</v>
      </c>
    </row>
    <row r="48" spans="1:1" x14ac:dyDescent="0.2">
      <c r="A48" s="7" t="s">
        <v>201</v>
      </c>
    </row>
    <row r="49" spans="1:1" x14ac:dyDescent="0.2">
      <c r="A49" s="7" t="s">
        <v>202</v>
      </c>
    </row>
    <row r="50" spans="1:1" x14ac:dyDescent="0.2">
      <c r="A50" s="7" t="s">
        <v>203</v>
      </c>
    </row>
    <row r="61" spans="1:1" x14ac:dyDescent="0.2">
      <c r="A61" s="2" t="s">
        <v>204</v>
      </c>
    </row>
    <row r="76" spans="1:1" x14ac:dyDescent="0.2">
      <c r="A76" s="7" t="s">
        <v>156</v>
      </c>
    </row>
    <row r="78" spans="1:1" x14ac:dyDescent="0.2">
      <c r="A78" s="2" t="s">
        <v>205</v>
      </c>
    </row>
    <row r="79" spans="1:1" x14ac:dyDescent="0.2">
      <c r="A79" s="2" t="s">
        <v>206</v>
      </c>
    </row>
    <row r="80" spans="1:1" x14ac:dyDescent="0.2">
      <c r="A80" s="2" t="s">
        <v>207</v>
      </c>
    </row>
    <row r="81" spans="1:8" x14ac:dyDescent="0.2">
      <c r="A81" s="2" t="s">
        <v>208</v>
      </c>
    </row>
    <row r="82" spans="1:8" x14ac:dyDescent="0.2">
      <c r="B82" s="2" t="s">
        <v>209</v>
      </c>
    </row>
    <row r="83" spans="1:8" x14ac:dyDescent="0.2">
      <c r="B83" s="2" t="s">
        <v>210</v>
      </c>
    </row>
    <row r="84" spans="1:8" x14ac:dyDescent="0.2">
      <c r="B84" s="2" t="s">
        <v>211</v>
      </c>
    </row>
    <row r="85" spans="1:8" x14ac:dyDescent="0.2">
      <c r="A85" s="2" t="s">
        <v>212</v>
      </c>
    </row>
    <row r="86" spans="1:8" x14ac:dyDescent="0.2">
      <c r="B86" s="38">
        <v>0.1</v>
      </c>
      <c r="C86" s="38">
        <v>0.01</v>
      </c>
      <c r="D86" s="38">
        <v>0.01</v>
      </c>
    </row>
    <row r="87" spans="1:8" x14ac:dyDescent="0.2">
      <c r="B87" s="39">
        <v>0.01</v>
      </c>
      <c r="C87" s="38">
        <v>0.2</v>
      </c>
      <c r="D87" s="38">
        <v>0</v>
      </c>
    </row>
    <row r="88" spans="1:8" x14ac:dyDescent="0.2">
      <c r="B88" s="39">
        <v>0.01</v>
      </c>
      <c r="C88" s="39">
        <v>0</v>
      </c>
      <c r="D88" s="38">
        <v>0.3</v>
      </c>
    </row>
    <row r="89" spans="1:8" x14ac:dyDescent="0.2">
      <c r="A89" s="2" t="s">
        <v>213</v>
      </c>
      <c r="B89" s="40"/>
      <c r="C89" s="40"/>
      <c r="D89" s="41"/>
    </row>
    <row r="90" spans="1:8" x14ac:dyDescent="0.2">
      <c r="B90" s="40">
        <v>10.084033613445378</v>
      </c>
      <c r="C90" s="40">
        <v>-0.50420168067226889</v>
      </c>
      <c r="D90" s="41">
        <v>-0.33613445378151263</v>
      </c>
      <c r="F90" s="2">
        <v>0.05</v>
      </c>
      <c r="H90" s="2">
        <v>0.40336134453781514</v>
      </c>
    </row>
    <row r="91" spans="1:8" x14ac:dyDescent="0.2">
      <c r="B91" s="40">
        <v>-0.50420168067226889</v>
      </c>
      <c r="C91" s="40">
        <v>5.0252100840336134</v>
      </c>
      <c r="D91" s="41">
        <v>1.6806722689075633E-2</v>
      </c>
      <c r="F91" s="2">
        <v>0.1</v>
      </c>
      <c r="H91" s="2">
        <v>0.4798319327731092</v>
      </c>
    </row>
    <row r="92" spans="1:8" x14ac:dyDescent="0.2">
      <c r="B92" s="40">
        <v>-0.33613445378151263</v>
      </c>
      <c r="C92" s="40">
        <v>1.6806722689075633E-2</v>
      </c>
      <c r="D92" s="41">
        <v>3.344537815126051</v>
      </c>
      <c r="F92" s="2">
        <v>0.15</v>
      </c>
      <c r="H92" s="2">
        <v>0.4865546218487396</v>
      </c>
    </row>
    <row r="93" spans="1:8" x14ac:dyDescent="0.2">
      <c r="A93" s="2" t="s">
        <v>214</v>
      </c>
      <c r="B93" s="40"/>
      <c r="C93" s="40"/>
      <c r="D93" s="41"/>
    </row>
    <row r="94" spans="1:8" x14ac:dyDescent="0.2">
      <c r="A94" s="2" t="s">
        <v>215</v>
      </c>
      <c r="B94" s="40"/>
      <c r="C94" s="40"/>
      <c r="D94" s="41"/>
    </row>
    <row r="95" spans="1:8" x14ac:dyDescent="0.2">
      <c r="A95" s="2" t="s">
        <v>216</v>
      </c>
      <c r="B95" s="40"/>
      <c r="C95" s="40"/>
      <c r="D95" s="41"/>
    </row>
    <row r="96" spans="1:8" x14ac:dyDescent="0.2">
      <c r="A96" s="2" t="s">
        <v>217</v>
      </c>
    </row>
    <row r="97" spans="1:8" x14ac:dyDescent="0.2">
      <c r="A97" s="2" t="s">
        <v>218</v>
      </c>
    </row>
    <row r="98" spans="1:8" x14ac:dyDescent="0.2">
      <c r="D98" s="9">
        <v>0.1</v>
      </c>
      <c r="E98" s="9">
        <v>0.01</v>
      </c>
      <c r="F98" s="9">
        <v>0.01</v>
      </c>
      <c r="G98" s="42">
        <v>0.29447852760736198</v>
      </c>
    </row>
    <row r="99" spans="1:8" x14ac:dyDescent="0.2">
      <c r="A99" s="43">
        <v>0.29447852760736198</v>
      </c>
      <c r="B99" s="43">
        <v>0.35030674846625764</v>
      </c>
      <c r="C99" s="43">
        <v>0.35521472392638043</v>
      </c>
      <c r="D99" s="9">
        <v>0.01</v>
      </c>
      <c r="E99" s="9">
        <v>0.2</v>
      </c>
      <c r="F99" s="9">
        <v>0</v>
      </c>
      <c r="G99" s="42">
        <v>0.35030674846625764</v>
      </c>
      <c r="H99" s="8" t="s">
        <v>219</v>
      </c>
    </row>
    <row r="100" spans="1:8" x14ac:dyDescent="0.2">
      <c r="D100" s="9">
        <v>0.01</v>
      </c>
      <c r="E100" s="9">
        <v>0</v>
      </c>
      <c r="F100" s="9">
        <v>0.3</v>
      </c>
      <c r="G100" s="42">
        <v>0.35521472392638043</v>
      </c>
    </row>
    <row r="104" spans="1:8" x14ac:dyDescent="0.2">
      <c r="A104" s="2" t="s">
        <v>220</v>
      </c>
    </row>
    <row r="105" spans="1:8" x14ac:dyDescent="0.2">
      <c r="A105" s="2" t="s">
        <v>221</v>
      </c>
    </row>
    <row r="106" spans="1:8" x14ac:dyDescent="0.2">
      <c r="A106" s="2" t="s">
        <v>222</v>
      </c>
    </row>
    <row r="107" spans="1:8" x14ac:dyDescent="0.2">
      <c r="A107" s="2" t="s">
        <v>223</v>
      </c>
    </row>
    <row r="109" spans="1:8" x14ac:dyDescent="0.2">
      <c r="B109" s="2" t="s">
        <v>224</v>
      </c>
    </row>
    <row r="110" spans="1:8" x14ac:dyDescent="0.2">
      <c r="A110" s="2" t="s">
        <v>225</v>
      </c>
    </row>
    <row r="112" spans="1:8" x14ac:dyDescent="0.2">
      <c r="A112" s="2" t="s">
        <v>226</v>
      </c>
    </row>
    <row r="113" spans="1:1" x14ac:dyDescent="0.2">
      <c r="A113" s="2" t="s">
        <v>227</v>
      </c>
    </row>
    <row r="114" spans="1:1" x14ac:dyDescent="0.2">
      <c r="A114" s="2" t="s">
        <v>228</v>
      </c>
    </row>
    <row r="115" spans="1:1" x14ac:dyDescent="0.2">
      <c r="A115" s="2" t="s">
        <v>229</v>
      </c>
    </row>
    <row r="122" spans="1:1" x14ac:dyDescent="0.2">
      <c r="A122" s="2" t="s">
        <v>230</v>
      </c>
    </row>
    <row r="124" spans="1:1" x14ac:dyDescent="0.2">
      <c r="A124" s="2" t="s">
        <v>231</v>
      </c>
    </row>
    <row r="126" spans="1:1" x14ac:dyDescent="0.2">
      <c r="A126" s="2" t="s">
        <v>232</v>
      </c>
    </row>
    <row r="127" spans="1:1" x14ac:dyDescent="0.2">
      <c r="A127" s="2" t="s">
        <v>233</v>
      </c>
    </row>
    <row r="128" spans="1:1" x14ac:dyDescent="0.2">
      <c r="A128" s="2" t="s">
        <v>234</v>
      </c>
    </row>
    <row r="130" spans="1:1" x14ac:dyDescent="0.2">
      <c r="A130" s="2" t="s">
        <v>235</v>
      </c>
    </row>
    <row r="132" spans="1:1" x14ac:dyDescent="0.2">
      <c r="A132" s="44" t="s">
        <v>236</v>
      </c>
    </row>
    <row r="133" spans="1:1" x14ac:dyDescent="0.2">
      <c r="A133" s="44" t="s">
        <v>237</v>
      </c>
    </row>
  </sheetData>
  <hyperlinks>
    <hyperlink ref="A132:A133" r:id="rId1" display="The formatting of subscripts and superscripts may not be apparent on this spreadsheet. For clarification," xr:uid="{0187368B-6F47-47B9-A7B0-876BC075F875}"/>
  </hyperlinks>
  <pageMargins left="0.75" right="0.75" top="1" bottom="1" header="0.5" footer="0.5"/>
  <pageSetup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P8Doc" shapeId="12289" r:id="rId5">
          <objectPr defaultSize="0" r:id="rId6">
            <anchor moveWithCells="1">
              <from>
                <xdr:col>0</xdr:col>
                <xdr:colOff>0</xdr:colOff>
                <xdr:row>115</xdr:row>
                <xdr:rowOff>0</xdr:rowOff>
              </from>
              <to>
                <xdr:col>9</xdr:col>
                <xdr:colOff>238125</xdr:colOff>
                <xdr:row>120</xdr:row>
                <xdr:rowOff>47625</xdr:rowOff>
              </to>
            </anchor>
          </objectPr>
        </oleObject>
      </mc:Choice>
      <mc:Fallback>
        <oleObject progId="WP8Doc" shapeId="12289" r:id="rId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984D0-E1C9-4188-82DA-B2A1391075FD}">
  <dimension ref="A1:M21"/>
  <sheetViews>
    <sheetView workbookViewId="0">
      <selection activeCell="A2" sqref="A2"/>
    </sheetView>
  </sheetViews>
  <sheetFormatPr defaultRowHeight="12.75" x14ac:dyDescent="0.2"/>
  <cols>
    <col min="1" max="1" width="7.42578125" style="2" customWidth="1"/>
    <col min="2" max="2" width="5.5703125" style="2" customWidth="1"/>
    <col min="3" max="3" width="9.140625" style="2"/>
    <col min="4" max="4" width="5" style="2" customWidth="1"/>
    <col min="5" max="5" width="9.140625" style="2"/>
    <col min="6" max="6" width="5" style="2" customWidth="1"/>
    <col min="7" max="7" width="4.7109375" style="2" customWidth="1"/>
    <col min="8" max="16384" width="9.140625" style="2"/>
  </cols>
  <sheetData>
    <row r="1" spans="1:13" ht="18" x14ac:dyDescent="0.25">
      <c r="A1" s="1" t="s">
        <v>102</v>
      </c>
    </row>
    <row r="2" spans="1:13" x14ac:dyDescent="0.2">
      <c r="B2" s="7" t="s">
        <v>103</v>
      </c>
    </row>
    <row r="3" spans="1:13" x14ac:dyDescent="0.2">
      <c r="A3" s="2" t="s">
        <v>61</v>
      </c>
      <c r="B3" s="4">
        <v>0.13</v>
      </c>
      <c r="C3" s="2" t="s">
        <v>62</v>
      </c>
      <c r="D3" s="4">
        <v>0.8</v>
      </c>
      <c r="E3" s="2" t="s">
        <v>63</v>
      </c>
      <c r="F3" s="4">
        <v>-0.2</v>
      </c>
      <c r="G3" s="2" t="s">
        <v>64</v>
      </c>
      <c r="H3" s="4">
        <v>0.03</v>
      </c>
    </row>
    <row r="4" spans="1:13" x14ac:dyDescent="0.2">
      <c r="A4" s="2" t="s">
        <v>65</v>
      </c>
      <c r="B4" s="4">
        <v>7.0000000000000007E-2</v>
      </c>
      <c r="C4" s="2" t="s">
        <v>66</v>
      </c>
      <c r="D4" s="4">
        <v>0.3</v>
      </c>
    </row>
    <row r="6" spans="1:13" x14ac:dyDescent="0.2">
      <c r="A6" s="7" t="s">
        <v>104</v>
      </c>
    </row>
    <row r="7" spans="1:13" x14ac:dyDescent="0.2">
      <c r="A7" s="4" t="s">
        <v>184</v>
      </c>
      <c r="B7" s="4"/>
      <c r="C7" s="4"/>
    </row>
    <row r="8" spans="1:13" x14ac:dyDescent="0.2">
      <c r="A8" s="4" t="s">
        <v>185</v>
      </c>
      <c r="B8" s="4"/>
      <c r="C8" s="4"/>
      <c r="L8" s="2">
        <f>H3</f>
        <v>0.03</v>
      </c>
      <c r="M8" s="2">
        <v>0</v>
      </c>
    </row>
    <row r="9" spans="1:13" x14ac:dyDescent="0.2">
      <c r="L9" s="2">
        <f>E19</f>
        <v>8.6293929712460055E-2</v>
      </c>
      <c r="M9" s="2">
        <f>E20</f>
        <v>0.25584173010761385</v>
      </c>
    </row>
    <row r="10" spans="1:13" x14ac:dyDescent="0.2">
      <c r="A10" s="2">
        <f>D3^2</f>
        <v>0.64000000000000012</v>
      </c>
      <c r="B10" s="2">
        <f>A11</f>
        <v>-0.2</v>
      </c>
      <c r="C10" s="7" t="s">
        <v>105</v>
      </c>
    </row>
    <row r="11" spans="1:13" x14ac:dyDescent="0.2">
      <c r="A11" s="2">
        <f>F3</f>
        <v>-0.2</v>
      </c>
      <c r="B11" s="2">
        <f>D4^2</f>
        <v>0.09</v>
      </c>
    </row>
    <row r="13" spans="1:13" x14ac:dyDescent="0.2">
      <c r="A13" s="2">
        <f t="array" ref="A13:B14">MINVERSE(A10:B11)</f>
        <v>5.1136363636363615</v>
      </c>
      <c r="B13" s="2">
        <v>11.363636363636362</v>
      </c>
      <c r="C13" s="2">
        <f>B3-H3</f>
        <v>0.1</v>
      </c>
      <c r="D13" s="2">
        <f t="array" ref="D13:D14">MMULT(A13:B14,C13:C14)</f>
        <v>0.96590909090909061</v>
      </c>
      <c r="E13" s="8" t="s">
        <v>106</v>
      </c>
      <c r="F13" s="7" t="s">
        <v>107</v>
      </c>
    </row>
    <row r="14" spans="1:13" x14ac:dyDescent="0.2">
      <c r="A14" s="2">
        <v>11.36363636363636</v>
      </c>
      <c r="B14" s="2">
        <v>36.36363636363636</v>
      </c>
      <c r="C14" s="2">
        <f>B4-H3</f>
        <v>4.0000000000000008E-2</v>
      </c>
      <c r="D14" s="2">
        <v>2.5909090909090908</v>
      </c>
      <c r="E14" s="8" t="s">
        <v>108</v>
      </c>
    </row>
    <row r="16" spans="1:13" x14ac:dyDescent="0.2">
      <c r="A16" s="2">
        <f>D13/(D13+D14)</f>
        <v>0.27156549520766765</v>
      </c>
      <c r="B16" s="8" t="s">
        <v>109</v>
      </c>
      <c r="C16" s="7" t="s">
        <v>110</v>
      </c>
    </row>
    <row r="17" spans="1:6" x14ac:dyDescent="0.2">
      <c r="A17" s="2">
        <f>D14/(D13+D14)</f>
        <v>0.72843450479233229</v>
      </c>
      <c r="B17" s="8" t="s">
        <v>111</v>
      </c>
    </row>
    <row r="19" spans="1:6" x14ac:dyDescent="0.2">
      <c r="A19" s="2" t="s">
        <v>112</v>
      </c>
      <c r="E19" s="2">
        <f>A16*B3+A17*B4</f>
        <v>8.6293929712460055E-2</v>
      </c>
      <c r="F19" s="7" t="s">
        <v>113</v>
      </c>
    </row>
    <row r="20" spans="1:6" x14ac:dyDescent="0.2">
      <c r="A20" s="2" t="s">
        <v>114</v>
      </c>
      <c r="E20" s="2">
        <f>(A10*A16^2+B11*A17^2+2*A16*A16*B10)^0.5</f>
        <v>0.25584173010761385</v>
      </c>
      <c r="F20" s="7" t="s">
        <v>115</v>
      </c>
    </row>
    <row r="21" spans="1:6" x14ac:dyDescent="0.2">
      <c r="A21" s="2" t="s">
        <v>116</v>
      </c>
      <c r="E21" s="2">
        <f>(E19-H3)/E20</f>
        <v>0.22003419727024723</v>
      </c>
      <c r="F21" s="7" t="s">
        <v>117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8F19-1804-45CC-8429-3848E3AD68E1}">
  <dimension ref="A1:L46"/>
  <sheetViews>
    <sheetView workbookViewId="0">
      <selection activeCell="E1" sqref="E1"/>
    </sheetView>
  </sheetViews>
  <sheetFormatPr defaultRowHeight="15" x14ac:dyDescent="0.25"/>
  <cols>
    <col min="1" max="16384" width="9.140625" style="30"/>
  </cols>
  <sheetData>
    <row r="1" spans="1:12" ht="15.75" x14ac:dyDescent="0.25">
      <c r="A1" s="28" t="s">
        <v>139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x14ac:dyDescent="0.25">
      <c r="A2" s="31" t="s">
        <v>140</v>
      </c>
    </row>
    <row r="3" spans="1:12" ht="15.75" x14ac:dyDescent="0.25">
      <c r="A3" s="31" t="s">
        <v>141</v>
      </c>
    </row>
    <row r="4" spans="1:12" ht="15.75" x14ac:dyDescent="0.25">
      <c r="A4" s="31" t="s">
        <v>142</v>
      </c>
    </row>
    <row r="5" spans="1:12" ht="15.75" x14ac:dyDescent="0.25">
      <c r="A5" s="31" t="s">
        <v>143</v>
      </c>
    </row>
    <row r="6" spans="1:12" ht="15.75" x14ac:dyDescent="0.25">
      <c r="A6" s="31" t="s">
        <v>144</v>
      </c>
    </row>
    <row r="7" spans="1:12" ht="18" x14ac:dyDescent="0.35">
      <c r="A7" s="32" t="s">
        <v>145</v>
      </c>
      <c r="B7" s="32" t="s">
        <v>146</v>
      </c>
      <c r="C7" s="32" t="s">
        <v>147</v>
      </c>
    </row>
    <row r="8" spans="1:12" ht="18" x14ac:dyDescent="0.35">
      <c r="A8" s="32" t="s">
        <v>148</v>
      </c>
      <c r="B8" s="32" t="s">
        <v>149</v>
      </c>
      <c r="C8" s="32" t="s">
        <v>150</v>
      </c>
    </row>
    <row r="9" spans="1:12" ht="18" x14ac:dyDescent="0.35">
      <c r="A9" s="32" t="s">
        <v>151</v>
      </c>
      <c r="B9" s="32" t="s">
        <v>152</v>
      </c>
      <c r="C9" s="32" t="s">
        <v>153</v>
      </c>
    </row>
    <row r="10" spans="1:12" ht="18" x14ac:dyDescent="0.35">
      <c r="A10" s="32" t="s">
        <v>154</v>
      </c>
      <c r="B10" s="32" t="s">
        <v>155</v>
      </c>
    </row>
    <row r="11" spans="1:12" x14ac:dyDescent="0.25">
      <c r="A11" s="32"/>
      <c r="B11" s="32"/>
    </row>
    <row r="12" spans="1:12" ht="15.75" x14ac:dyDescent="0.25">
      <c r="A12" s="33" t="s">
        <v>156</v>
      </c>
      <c r="B12" s="34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x14ac:dyDescent="0.25">
      <c r="A13" s="35" t="s">
        <v>157</v>
      </c>
      <c r="B13" s="35"/>
      <c r="C13" s="35"/>
      <c r="D13" s="35"/>
      <c r="E13" s="35"/>
      <c r="F13" s="35"/>
      <c r="G13" s="35"/>
    </row>
    <row r="14" spans="1:12" x14ac:dyDescent="0.25">
      <c r="A14" s="35" t="s">
        <v>158</v>
      </c>
      <c r="B14" s="35"/>
      <c r="C14" s="35"/>
      <c r="D14" s="35"/>
      <c r="E14" s="35"/>
      <c r="F14" s="35"/>
      <c r="G14" s="35"/>
    </row>
    <row r="15" spans="1:12" x14ac:dyDescent="0.25">
      <c r="A15" s="35" t="s">
        <v>159</v>
      </c>
      <c r="B15" s="35"/>
      <c r="C15" s="35"/>
      <c r="D15" s="35"/>
      <c r="E15" s="35"/>
      <c r="F15" s="35"/>
      <c r="G15" s="35"/>
    </row>
    <row r="16" spans="1:12" ht="19.5" x14ac:dyDescent="0.35">
      <c r="A16" s="35" t="s">
        <v>160</v>
      </c>
      <c r="B16" s="35"/>
      <c r="C16" s="35"/>
      <c r="D16" s="35"/>
      <c r="E16" s="35"/>
      <c r="F16" s="35"/>
      <c r="G16" s="35"/>
    </row>
    <row r="17" spans="1:7" x14ac:dyDescent="0.25">
      <c r="A17" s="35" t="s">
        <v>161</v>
      </c>
      <c r="B17" s="35"/>
      <c r="C17" s="35"/>
      <c r="D17" s="35"/>
      <c r="E17" s="35"/>
      <c r="F17" s="35"/>
      <c r="G17" s="35"/>
    </row>
    <row r="18" spans="1:7" ht="18" x14ac:dyDescent="0.35">
      <c r="A18" s="35" t="s">
        <v>162</v>
      </c>
      <c r="B18" s="35" t="s">
        <v>163</v>
      </c>
      <c r="C18" s="35"/>
      <c r="D18" s="35"/>
      <c r="E18" s="35"/>
      <c r="F18" s="36" t="s">
        <v>164</v>
      </c>
      <c r="G18" s="35"/>
    </row>
    <row r="19" spans="1:7" ht="18" x14ac:dyDescent="0.35">
      <c r="A19" s="35" t="s">
        <v>165</v>
      </c>
      <c r="B19" s="35" t="s">
        <v>166</v>
      </c>
      <c r="C19" s="35"/>
      <c r="D19" s="35"/>
      <c r="E19" s="35"/>
      <c r="F19" s="36" t="s">
        <v>164</v>
      </c>
      <c r="G19" s="35"/>
    </row>
    <row r="20" spans="1:7" ht="18" x14ac:dyDescent="0.35">
      <c r="A20" s="35" t="s">
        <v>167</v>
      </c>
      <c r="B20" s="35" t="s">
        <v>168</v>
      </c>
      <c r="C20" s="35"/>
      <c r="D20" s="35"/>
      <c r="E20" s="35"/>
      <c r="F20" s="36" t="s">
        <v>164</v>
      </c>
      <c r="G20" s="35"/>
    </row>
    <row r="21" spans="1:7" ht="16.5" x14ac:dyDescent="0.3">
      <c r="A21" s="35" t="s">
        <v>169</v>
      </c>
      <c r="B21" s="35" t="s">
        <v>170</v>
      </c>
      <c r="C21" s="35"/>
      <c r="D21" s="35"/>
      <c r="E21" s="35"/>
      <c r="F21" s="36" t="s">
        <v>171</v>
      </c>
      <c r="G21" s="35"/>
    </row>
    <row r="22" spans="1:7" ht="16.5" x14ac:dyDescent="0.3">
      <c r="A22" s="35" t="s">
        <v>172</v>
      </c>
      <c r="B22" s="36" t="s">
        <v>173</v>
      </c>
      <c r="C22" s="35"/>
      <c r="D22" s="35"/>
      <c r="E22" s="35"/>
      <c r="F22" s="36" t="s">
        <v>174</v>
      </c>
      <c r="G22" s="35"/>
    </row>
    <row r="23" spans="1:7" x14ac:dyDescent="0.25">
      <c r="A23" s="35"/>
      <c r="B23" s="35"/>
      <c r="C23" s="35"/>
      <c r="D23" s="35"/>
      <c r="E23" s="35"/>
      <c r="F23" s="35"/>
      <c r="G23" s="35"/>
    </row>
    <row r="24" spans="1:7" x14ac:dyDescent="0.25">
      <c r="A24" s="35" t="s">
        <v>175</v>
      </c>
      <c r="B24" s="35"/>
      <c r="C24" s="35"/>
      <c r="D24" s="35"/>
      <c r="E24" s="35"/>
      <c r="F24" s="35"/>
      <c r="G24" s="35"/>
    </row>
    <row r="25" spans="1:7" x14ac:dyDescent="0.25">
      <c r="A25" s="35"/>
      <c r="B25" s="35"/>
      <c r="C25" s="35"/>
      <c r="D25" s="35"/>
      <c r="E25" s="35"/>
      <c r="F25" s="35"/>
      <c r="G25" s="35"/>
    </row>
    <row r="26" spans="1:7" x14ac:dyDescent="0.25">
      <c r="A26" s="30">
        <v>0</v>
      </c>
      <c r="B26" s="30">
        <v>0</v>
      </c>
      <c r="C26" s="30">
        <v>0</v>
      </c>
      <c r="D26" s="30">
        <v>-1</v>
      </c>
      <c r="E26" s="30">
        <v>-0.05</v>
      </c>
    </row>
    <row r="27" spans="1:7" x14ac:dyDescent="0.25">
      <c r="A27" s="30">
        <v>0</v>
      </c>
      <c r="B27" s="30">
        <v>0.08</v>
      </c>
      <c r="C27" s="30">
        <v>0.08</v>
      </c>
      <c r="D27" s="30">
        <v>-1</v>
      </c>
      <c r="E27" s="30">
        <v>-0.08</v>
      </c>
    </row>
    <row r="28" spans="1:7" x14ac:dyDescent="0.25">
      <c r="A28" s="30">
        <v>0</v>
      </c>
      <c r="B28" s="30">
        <v>0.08</v>
      </c>
      <c r="C28" s="30">
        <v>0.32</v>
      </c>
      <c r="D28" s="30">
        <v>-1</v>
      </c>
      <c r="E28" s="30">
        <v>-0.12</v>
      </c>
    </row>
    <row r="29" spans="1:7" x14ac:dyDescent="0.25">
      <c r="A29" s="30">
        <v>-1</v>
      </c>
      <c r="B29" s="30">
        <v>-1</v>
      </c>
      <c r="C29" s="30">
        <v>-1</v>
      </c>
      <c r="D29" s="30">
        <v>0</v>
      </c>
      <c r="E29" s="30">
        <v>0</v>
      </c>
    </row>
    <row r="30" spans="1:7" x14ac:dyDescent="0.25">
      <c r="A30" s="30">
        <v>-0.05</v>
      </c>
      <c r="B30" s="30">
        <v>-0.08</v>
      </c>
      <c r="C30" s="30">
        <v>-0.12</v>
      </c>
      <c r="D30" s="30">
        <v>0</v>
      </c>
      <c r="E30" s="30">
        <v>0</v>
      </c>
    </row>
    <row r="32" spans="1:7" x14ac:dyDescent="0.25">
      <c r="A32" s="30" t="s">
        <v>176</v>
      </c>
    </row>
    <row r="33" spans="1:8" x14ac:dyDescent="0.25">
      <c r="A33" s="30" t="s">
        <v>177</v>
      </c>
    </row>
    <row r="35" spans="1:8" ht="18" x14ac:dyDescent="0.35">
      <c r="A35" s="30">
        <f t="array" ref="A35:E39">MINVERSE(A26:E30)</f>
        <v>4.6511627906976747</v>
      </c>
      <c r="B35" s="30">
        <v>-8.1395348837209269</v>
      </c>
      <c r="C35" s="30">
        <v>3.4883720930232567</v>
      </c>
      <c r="D35" s="30">
        <v>-2.0465116279069773</v>
      </c>
      <c r="E35" s="30">
        <v>20.930232558139537</v>
      </c>
      <c r="F35" s="30">
        <v>0</v>
      </c>
      <c r="G35" s="30">
        <f t="array" ref="G35:G39">MMULT(A35:E39,F35:F39)</f>
        <v>-4.6511627906976383E-2</v>
      </c>
      <c r="H35" s="37" t="s">
        <v>178</v>
      </c>
    </row>
    <row r="36" spans="1:8" ht="18" x14ac:dyDescent="0.35">
      <c r="A36" s="30">
        <v>-8.1395348837209305</v>
      </c>
      <c r="B36" s="30">
        <v>14.244186046511626</v>
      </c>
      <c r="C36" s="30">
        <v>-6.1046511627906987</v>
      </c>
      <c r="D36" s="30">
        <v>0.58139534883720967</v>
      </c>
      <c r="E36" s="30">
        <v>-11.627906976744189</v>
      </c>
      <c r="F36" s="30">
        <v>0</v>
      </c>
      <c r="G36" s="30">
        <v>0.58139534883720922</v>
      </c>
      <c r="H36" s="37" t="s">
        <v>179</v>
      </c>
    </row>
    <row r="37" spans="1:8" ht="18" x14ac:dyDescent="0.35">
      <c r="A37" s="30">
        <v>3.4883720930232558</v>
      </c>
      <c r="B37" s="30">
        <v>-6.1046511627906979</v>
      </c>
      <c r="C37" s="30">
        <v>2.6162790697674421</v>
      </c>
      <c r="D37" s="30">
        <v>0.46511627906976744</v>
      </c>
      <c r="E37" s="30">
        <v>-9.3023255813953494</v>
      </c>
      <c r="F37" s="30">
        <v>0</v>
      </c>
      <c r="G37" s="30">
        <v>0.46511627906976755</v>
      </c>
      <c r="H37" s="37" t="s">
        <v>180</v>
      </c>
    </row>
    <row r="38" spans="1:8" ht="18" x14ac:dyDescent="0.35">
      <c r="A38" s="30">
        <v>-2.0465116279069768</v>
      </c>
      <c r="B38" s="30">
        <v>0.58139534883720945</v>
      </c>
      <c r="C38" s="30">
        <v>0.46511627906976749</v>
      </c>
      <c r="D38" s="30">
        <v>-0.13953488372093026</v>
      </c>
      <c r="E38" s="30">
        <v>2.7906976744186052</v>
      </c>
      <c r="F38" s="30">
        <v>-1</v>
      </c>
      <c r="G38" s="30">
        <v>-0.13953488372093026</v>
      </c>
      <c r="H38" s="37" t="s">
        <v>181</v>
      </c>
    </row>
    <row r="39" spans="1:8" ht="18" x14ac:dyDescent="0.35">
      <c r="A39" s="30">
        <v>20.930232558139537</v>
      </c>
      <c r="B39" s="30">
        <v>-11.627906976744189</v>
      </c>
      <c r="C39" s="30">
        <v>-9.3023255813953494</v>
      </c>
      <c r="D39" s="30">
        <v>2.7906976744186052</v>
      </c>
      <c r="E39" s="30">
        <v>-55.8139534883721</v>
      </c>
      <c r="F39" s="30">
        <v>-0.1</v>
      </c>
      <c r="G39" s="30">
        <v>2.7906976744186052</v>
      </c>
      <c r="H39" s="37" t="s">
        <v>182</v>
      </c>
    </row>
    <row r="41" spans="1:8" x14ac:dyDescent="0.25">
      <c r="A41" s="30" t="s">
        <v>183</v>
      </c>
    </row>
    <row r="42" spans="1:8" x14ac:dyDescent="0.25">
      <c r="A42" s="30">
        <v>0.04</v>
      </c>
      <c r="B42" s="30">
        <v>0.04</v>
      </c>
    </row>
    <row r="43" spans="1:8" x14ac:dyDescent="0.25">
      <c r="A43" s="30">
        <v>0.04</v>
      </c>
      <c r="B43" s="30">
        <v>0.16</v>
      </c>
    </row>
    <row r="45" spans="1:8" x14ac:dyDescent="0.25">
      <c r="A45" s="30">
        <f t="array" ref="A45:B46">MINVERSE(A42:B43)</f>
        <v>33.333333333333336</v>
      </c>
      <c r="B45" s="30">
        <v>-8.3333333333333339</v>
      </c>
      <c r="C45" s="30">
        <v>0.03</v>
      </c>
      <c r="D45" s="30">
        <f t="array" ref="D45:D46">MMULT(A45:B46,C45:C46)</f>
        <v>0.41666666666666652</v>
      </c>
      <c r="E45" s="30">
        <f>D45/(D45+D46)</f>
        <v>0.55555555555555536</v>
      </c>
    </row>
    <row r="46" spans="1:8" x14ac:dyDescent="0.25">
      <c r="A46" s="30">
        <v>-8.3333333333333339</v>
      </c>
      <c r="B46" s="30">
        <v>8.3333333333333339</v>
      </c>
      <c r="C46" s="30">
        <v>7.0000000000000007E-2</v>
      </c>
      <c r="D46" s="30">
        <v>0.33333333333333348</v>
      </c>
      <c r="E46" s="30">
        <f>D46/(D45+D46)</f>
        <v>0.44444444444444464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1C60-76BC-49B6-91DE-730469DAF0F6}">
  <dimension ref="A1:M57"/>
  <sheetViews>
    <sheetView workbookViewId="0">
      <selection activeCell="F13" sqref="F13"/>
    </sheetView>
  </sheetViews>
  <sheetFormatPr defaultRowHeight="12.75" x14ac:dyDescent="0.2"/>
  <cols>
    <col min="1" max="4" width="9.140625" style="2"/>
    <col min="5" max="5" width="14" style="2" customWidth="1"/>
    <col min="6" max="16384" width="9.140625" style="2"/>
  </cols>
  <sheetData>
    <row r="1" spans="1:13" ht="18" x14ac:dyDescent="0.25">
      <c r="A1" s="1" t="s">
        <v>118</v>
      </c>
    </row>
    <row r="2" spans="1:13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x14ac:dyDescent="0.25">
      <c r="A3" s="5" t="s">
        <v>2</v>
      </c>
    </row>
    <row r="4" spans="1:13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13" x14ac:dyDescent="0.2">
      <c r="A5" s="6">
        <v>37502</v>
      </c>
      <c r="B5" s="2">
        <v>38.9</v>
      </c>
      <c r="C5" s="2">
        <f t="shared" ref="C5:C27" si="0">(B5-B6)/B6</f>
        <v>-0.18721270371918097</v>
      </c>
      <c r="D5" s="2">
        <f t="shared" ref="D5:D28" si="1">C5+1</f>
        <v>0.81278729628081903</v>
      </c>
      <c r="E5" s="2">
        <f t="shared" ref="E5:E27" si="2">((C5-C$29)^2)/23</f>
        <v>1.3477174581011705E-3</v>
      </c>
      <c r="F5" s="2" t="s">
        <v>8</v>
      </c>
      <c r="G5" s="7">
        <f t="array" ref="G5">PRODUCT(D5:D27)</f>
        <v>0.66758194611292254</v>
      </c>
      <c r="H5" s="2" t="s">
        <v>9</v>
      </c>
    </row>
    <row r="6" spans="1:13" x14ac:dyDescent="0.2">
      <c r="A6" s="6">
        <v>37469</v>
      </c>
      <c r="B6" s="2">
        <v>47.86</v>
      </c>
      <c r="C6" s="2">
        <f t="shared" si="0"/>
        <v>2.8141783029001124E-2</v>
      </c>
      <c r="D6" s="2">
        <f t="shared" si="1"/>
        <v>1.0281417830290012</v>
      </c>
      <c r="E6" s="2">
        <f t="shared" si="2"/>
        <v>6.7129232145356947E-5</v>
      </c>
      <c r="F6" s="2" t="s">
        <v>10</v>
      </c>
      <c r="G6" s="7">
        <f>G5^(1/24)-1</f>
        <v>-1.6696260086148329E-2</v>
      </c>
      <c r="H6" s="2" t="s">
        <v>11</v>
      </c>
    </row>
    <row r="7" spans="1:13" x14ac:dyDescent="0.2">
      <c r="A7" s="6">
        <v>37438</v>
      </c>
      <c r="B7" s="2">
        <v>46.55</v>
      </c>
      <c r="C7" s="2">
        <f t="shared" si="0"/>
        <v>-0.12909260991580926</v>
      </c>
      <c r="D7" s="2">
        <f t="shared" si="1"/>
        <v>0.87090739008419071</v>
      </c>
      <c r="E7" s="2">
        <f t="shared" si="2"/>
        <v>6.0478585425328035E-4</v>
      </c>
      <c r="F7" s="2" t="s">
        <v>12</v>
      </c>
      <c r="G7" s="7">
        <f>(1+G6)^12-1</f>
        <v>-0.18294311941400165</v>
      </c>
      <c r="H7" s="2" t="s">
        <v>13</v>
      </c>
    </row>
    <row r="8" spans="1:13" x14ac:dyDescent="0.2">
      <c r="A8" s="6">
        <v>37410</v>
      </c>
      <c r="B8" s="2">
        <v>53.45</v>
      </c>
      <c r="C8" s="2">
        <f t="shared" si="0"/>
        <v>-0.13998390989541426</v>
      </c>
      <c r="D8" s="2">
        <f t="shared" si="1"/>
        <v>0.86001609010458568</v>
      </c>
      <c r="E8" s="2">
        <f t="shared" si="2"/>
        <v>7.2164157558866372E-4</v>
      </c>
      <c r="F8" s="2" t="s">
        <v>10</v>
      </c>
      <c r="G8" s="7">
        <f>(B5/B28)^(1/24)-1</f>
        <v>-1.6696260086148329E-2</v>
      </c>
      <c r="H8" s="2" t="s">
        <v>11</v>
      </c>
    </row>
    <row r="9" spans="1:13" x14ac:dyDescent="0.2">
      <c r="A9" s="6">
        <v>37377</v>
      </c>
      <c r="B9" s="2">
        <v>62.15</v>
      </c>
      <c r="C9" s="2">
        <f t="shared" si="0"/>
        <v>-2.4026381909547756E-2</v>
      </c>
      <c r="D9" s="2">
        <f t="shared" si="1"/>
        <v>0.97597361809045224</v>
      </c>
      <c r="E9" s="2">
        <f t="shared" si="2"/>
        <v>7.2069228820943436E-6</v>
      </c>
      <c r="F9" s="2" t="s">
        <v>12</v>
      </c>
      <c r="G9" s="7">
        <f>(1+G8)^12-1</f>
        <v>-0.18294311941400165</v>
      </c>
      <c r="H9" s="2" t="s">
        <v>13</v>
      </c>
    </row>
    <row r="10" spans="1:13" x14ac:dyDescent="0.2">
      <c r="A10" s="6">
        <v>37347</v>
      </c>
      <c r="B10" s="2">
        <v>63.68</v>
      </c>
      <c r="C10" s="2">
        <f t="shared" si="0"/>
        <v>6.1156473921013192E-2</v>
      </c>
      <c r="D10" s="2">
        <f t="shared" si="1"/>
        <v>1.0611564739210131</v>
      </c>
      <c r="E10" s="2">
        <f t="shared" si="2"/>
        <v>2.2732443266563904E-4</v>
      </c>
      <c r="F10" s="2" t="s">
        <v>14</v>
      </c>
      <c r="G10" s="7">
        <f>E29</f>
        <v>1.2060595701261263E-2</v>
      </c>
      <c r="H10" s="2" t="s">
        <v>15</v>
      </c>
    </row>
    <row r="11" spans="1:13" x14ac:dyDescent="0.2">
      <c r="A11" s="6">
        <v>37316</v>
      </c>
      <c r="B11" s="2">
        <v>60.01</v>
      </c>
      <c r="C11" s="2">
        <f t="shared" si="0"/>
        <v>0.14109146225518149</v>
      </c>
      <c r="D11" s="2">
        <f t="shared" si="1"/>
        <v>1.1410914622551815</v>
      </c>
      <c r="E11" s="2">
        <f t="shared" si="2"/>
        <v>1.0077373592574817E-3</v>
      </c>
      <c r="F11" s="2" t="s">
        <v>16</v>
      </c>
      <c r="G11" s="7">
        <f>G10^0.5</f>
        <v>0.10982074349257186</v>
      </c>
      <c r="H11" s="2" t="s">
        <v>17</v>
      </c>
    </row>
    <row r="12" spans="1:13" x14ac:dyDescent="0.2">
      <c r="A12" s="6">
        <v>37288</v>
      </c>
      <c r="B12" s="2">
        <v>52.59</v>
      </c>
      <c r="C12" s="2">
        <f t="shared" si="0"/>
        <v>4.6567164179104545E-2</v>
      </c>
      <c r="D12" s="2">
        <f t="shared" si="1"/>
        <v>1.0465671641791046</v>
      </c>
      <c r="E12" s="2">
        <f t="shared" si="2"/>
        <v>1.44846054274451E-4</v>
      </c>
      <c r="F12" s="2" t="s">
        <v>16</v>
      </c>
      <c r="G12" s="7">
        <f>G11*12^0.5</f>
        <v>0.38043021490824719</v>
      </c>
      <c r="H12" s="2" t="s">
        <v>18</v>
      </c>
    </row>
    <row r="13" spans="1:13" x14ac:dyDescent="0.2">
      <c r="A13" s="6">
        <v>37258</v>
      </c>
      <c r="B13" s="2">
        <v>50.25</v>
      </c>
      <c r="C13" s="2">
        <f t="shared" si="0"/>
        <v>5.2135678391959844E-2</v>
      </c>
      <c r="D13" s="2">
        <f t="shared" si="1"/>
        <v>1.0521356783919598</v>
      </c>
      <c r="E13" s="2">
        <f t="shared" si="2"/>
        <v>1.7414275890603699E-4</v>
      </c>
    </row>
    <row r="14" spans="1:13" x14ac:dyDescent="0.2">
      <c r="A14" s="6">
        <v>37228</v>
      </c>
      <c r="B14" s="2">
        <v>47.76</v>
      </c>
      <c r="C14" s="2">
        <f t="shared" si="0"/>
        <v>-2.2113022113022223E-2</v>
      </c>
      <c r="D14" s="2">
        <f t="shared" si="1"/>
        <v>0.97788697788697776</v>
      </c>
      <c r="E14" s="2">
        <f t="shared" si="2"/>
        <v>5.2240047027541098E-6</v>
      </c>
    </row>
    <row r="15" spans="1:13" x14ac:dyDescent="0.2">
      <c r="A15" s="6">
        <v>37196</v>
      </c>
      <c r="B15" s="2">
        <v>48.84</v>
      </c>
      <c r="C15" s="2">
        <f t="shared" si="0"/>
        <v>0.21704460503364068</v>
      </c>
      <c r="D15" s="2">
        <f t="shared" si="1"/>
        <v>1.2170446050336408</v>
      </c>
      <c r="E15" s="2">
        <f t="shared" si="2"/>
        <v>2.2640661682019796E-3</v>
      </c>
    </row>
    <row r="16" spans="1:13" x14ac:dyDescent="0.2">
      <c r="A16" s="6">
        <v>37165</v>
      </c>
      <c r="B16" s="2">
        <v>40.130000000000003</v>
      </c>
      <c r="C16" s="2">
        <f t="shared" si="0"/>
        <v>-3.6725876140182287E-2</v>
      </c>
      <c r="D16" s="2">
        <f t="shared" si="1"/>
        <v>0.9632741238598177</v>
      </c>
      <c r="E16" s="2">
        <f t="shared" si="2"/>
        <v>2.843661064749275E-5</v>
      </c>
    </row>
    <row r="17" spans="1:5" x14ac:dyDescent="0.2">
      <c r="A17" s="6">
        <v>37138</v>
      </c>
      <c r="B17" s="2">
        <v>41.66</v>
      </c>
      <c r="C17" s="2">
        <f t="shared" si="0"/>
        <v>-0.21647545608425814</v>
      </c>
      <c r="D17" s="2">
        <f t="shared" si="1"/>
        <v>0.78352454391574189</v>
      </c>
      <c r="E17" s="2">
        <f t="shared" si="2"/>
        <v>1.83295101701375E-3</v>
      </c>
    </row>
    <row r="18" spans="1:5" x14ac:dyDescent="0.2">
      <c r="A18" s="6">
        <v>37104</v>
      </c>
      <c r="B18" s="2">
        <v>53.17</v>
      </c>
      <c r="C18" s="2">
        <f t="shared" si="0"/>
        <v>-0.13234334203655351</v>
      </c>
      <c r="D18" s="2">
        <f t="shared" si="1"/>
        <v>0.86765665796344649</v>
      </c>
      <c r="E18" s="2">
        <f t="shared" si="2"/>
        <v>6.3858395513208613E-4</v>
      </c>
    </row>
    <row r="19" spans="1:5" x14ac:dyDescent="0.2">
      <c r="A19" s="6">
        <v>37074</v>
      </c>
      <c r="B19" s="2">
        <v>61.28</v>
      </c>
      <c r="C19" s="2">
        <f t="shared" si="0"/>
        <v>-1.1612903225806433E-2</v>
      </c>
      <c r="D19" s="2">
        <f t="shared" si="1"/>
        <v>0.98838709677419356</v>
      </c>
      <c r="E19" s="2">
        <f t="shared" si="2"/>
        <v>9.2509832457727514E-9</v>
      </c>
    </row>
    <row r="20" spans="1:5" x14ac:dyDescent="0.2">
      <c r="A20" s="6">
        <v>37043</v>
      </c>
      <c r="B20" s="2">
        <v>62</v>
      </c>
      <c r="C20" s="2">
        <f t="shared" si="0"/>
        <v>0.13076782783147914</v>
      </c>
      <c r="D20" s="2">
        <f t="shared" si="1"/>
        <v>1.1307678278314792</v>
      </c>
      <c r="E20" s="2">
        <f t="shared" si="2"/>
        <v>8.7570141853515824E-4</v>
      </c>
    </row>
    <row r="21" spans="1:5" x14ac:dyDescent="0.2">
      <c r="A21" s="6">
        <v>37012</v>
      </c>
      <c r="B21" s="2">
        <v>54.83</v>
      </c>
      <c r="C21" s="2">
        <f t="shared" si="0"/>
        <v>4.7573557508597528E-2</v>
      </c>
      <c r="D21" s="2">
        <f t="shared" si="1"/>
        <v>1.0475735575085976</v>
      </c>
      <c r="E21" s="2">
        <f t="shared" si="2"/>
        <v>1.4994120415473409E-4</v>
      </c>
    </row>
    <row r="22" spans="1:5" x14ac:dyDescent="0.2">
      <c r="A22" s="6">
        <v>36983</v>
      </c>
      <c r="B22" s="2">
        <v>52.34</v>
      </c>
      <c r="C22" s="2">
        <f t="shared" si="0"/>
        <v>5.7160169662694514E-2</v>
      </c>
      <c r="D22" s="2">
        <f t="shared" si="1"/>
        <v>1.0571601696626944</v>
      </c>
      <c r="E22" s="2">
        <f t="shared" si="2"/>
        <v>2.0289139254660391E-4</v>
      </c>
    </row>
    <row r="23" spans="1:5" x14ac:dyDescent="0.2">
      <c r="A23" s="6">
        <v>36951</v>
      </c>
      <c r="B23" s="2">
        <v>49.51</v>
      </c>
      <c r="C23" s="2">
        <f t="shared" si="0"/>
        <v>-2.7690494893951367E-2</v>
      </c>
      <c r="D23" s="2">
        <f t="shared" si="1"/>
        <v>0.97230950510604863</v>
      </c>
      <c r="E23" s="2">
        <f t="shared" si="2"/>
        <v>1.1892784285380342E-5</v>
      </c>
    </row>
    <row r="24" spans="1:5" x14ac:dyDescent="0.2">
      <c r="A24" s="6">
        <v>36923</v>
      </c>
      <c r="B24" s="2">
        <v>50.92</v>
      </c>
      <c r="C24" s="2">
        <f t="shared" si="0"/>
        <v>1.9677292404565411E-3</v>
      </c>
      <c r="D24" s="2">
        <f t="shared" si="1"/>
        <v>1.0019677292404565</v>
      </c>
      <c r="E24" s="2">
        <f t="shared" si="2"/>
        <v>7.4833738053398431E-6</v>
      </c>
    </row>
    <row r="25" spans="1:5" x14ac:dyDescent="0.2">
      <c r="A25" s="6">
        <v>36893</v>
      </c>
      <c r="B25" s="2">
        <v>50.82</v>
      </c>
      <c r="C25" s="2">
        <f t="shared" si="0"/>
        <v>5.4138145612943361E-2</v>
      </c>
      <c r="D25" s="2">
        <f t="shared" si="1"/>
        <v>1.0541381456129433</v>
      </c>
      <c r="E25" s="2">
        <f t="shared" si="2"/>
        <v>1.8533716750229352E-4</v>
      </c>
    </row>
    <row r="26" spans="1:5" x14ac:dyDescent="0.2">
      <c r="A26" s="6">
        <v>36861</v>
      </c>
      <c r="B26" s="2">
        <v>48.21</v>
      </c>
      <c r="C26" s="2">
        <f t="shared" si="0"/>
        <v>2.9028815368196358E-2</v>
      </c>
      <c r="D26" s="2">
        <f t="shared" si="1"/>
        <v>1.0290288153681963</v>
      </c>
      <c r="E26" s="2">
        <f t="shared" si="2"/>
        <v>7.0194270547031446E-5</v>
      </c>
    </row>
    <row r="27" spans="1:5" x14ac:dyDescent="0.2">
      <c r="A27" s="6">
        <v>36831</v>
      </c>
      <c r="B27" s="2">
        <v>46.85</v>
      </c>
      <c r="C27" s="2">
        <f t="shared" si="0"/>
        <v>-0.19598421142955211</v>
      </c>
      <c r="D27" s="2">
        <f t="shared" si="1"/>
        <v>0.80401578857044786</v>
      </c>
      <c r="E27" s="2">
        <f t="shared" si="2"/>
        <v>1.4853514351292369E-3</v>
      </c>
    </row>
    <row r="28" spans="1:5" x14ac:dyDescent="0.2">
      <c r="A28" s="6">
        <v>36801</v>
      </c>
      <c r="B28" s="2">
        <v>58.27</v>
      </c>
      <c r="C28" s="2" t="s">
        <v>19</v>
      </c>
      <c r="D28" s="2" t="e">
        <f t="shared" si="1"/>
        <v>#VALUE!</v>
      </c>
    </row>
    <row r="29" spans="1:5" x14ac:dyDescent="0.2">
      <c r="B29" s="2" t="s">
        <v>20</v>
      </c>
      <c r="C29" s="2">
        <f>SUM(C5:C27)/23</f>
        <v>-1.1151630405609131E-2</v>
      </c>
      <c r="D29" s="8" t="s">
        <v>21</v>
      </c>
      <c r="E29" s="2">
        <f>SUM(E5:E27)</f>
        <v>1.2060595701261263E-2</v>
      </c>
    </row>
    <row r="31" spans="1:5" ht="15.75" x14ac:dyDescent="0.25">
      <c r="A31" s="5" t="s">
        <v>22</v>
      </c>
    </row>
    <row r="32" spans="1:5" x14ac:dyDescent="0.2">
      <c r="A32" s="2" t="s">
        <v>3</v>
      </c>
      <c r="B32" s="2" t="s">
        <v>4</v>
      </c>
      <c r="C32" s="2" t="s">
        <v>5</v>
      </c>
      <c r="D32" s="2" t="s">
        <v>6</v>
      </c>
      <c r="E32" s="2" t="s">
        <v>7</v>
      </c>
    </row>
    <row r="33" spans="1:8" x14ac:dyDescent="0.2">
      <c r="A33" s="6">
        <v>37502</v>
      </c>
      <c r="B33" s="2">
        <v>1.96</v>
      </c>
      <c r="C33" s="2">
        <f t="shared" ref="C33:C55" si="3">(B33-B34)/B34</f>
        <v>-0.50505050505050508</v>
      </c>
      <c r="D33" s="2">
        <f t="shared" ref="D33:D56" si="4">C33+1</f>
        <v>0.49494949494949492</v>
      </c>
      <c r="E33" s="2">
        <f t="shared" ref="E33:E55" si="5">((C33-C$57)^2)/23</f>
        <v>7.7325151267718098E-3</v>
      </c>
      <c r="F33" s="2" t="s">
        <v>8</v>
      </c>
      <c r="G33" s="7">
        <f t="array" ref="G33">PRODUCT(D33:D55)</f>
        <v>5.1416579223504719E-2</v>
      </c>
      <c r="H33" s="2" t="s">
        <v>9</v>
      </c>
    </row>
    <row r="34" spans="1:8" x14ac:dyDescent="0.2">
      <c r="A34" s="6">
        <v>37469</v>
      </c>
      <c r="B34" s="2">
        <v>3.96</v>
      </c>
      <c r="C34" s="2">
        <f t="shared" si="3"/>
        <v>-3.414634146341456E-2</v>
      </c>
      <c r="D34" s="2">
        <f t="shared" si="4"/>
        <v>0.96585365853658545</v>
      </c>
      <c r="E34" s="2">
        <f t="shared" si="5"/>
        <v>1.0517702207708273E-4</v>
      </c>
      <c r="F34" s="2" t="s">
        <v>10</v>
      </c>
      <c r="G34" s="7">
        <f>G33^(1/24)-1</f>
        <v>-0.11631808748028472</v>
      </c>
      <c r="H34" s="2" t="s">
        <v>11</v>
      </c>
    </row>
    <row r="35" spans="1:8" x14ac:dyDescent="0.2">
      <c r="A35" s="6">
        <v>37438</v>
      </c>
      <c r="B35" s="2">
        <v>4.0999999999999996</v>
      </c>
      <c r="C35" s="2">
        <f t="shared" si="3"/>
        <v>-8.2774049217002266E-2</v>
      </c>
      <c r="D35" s="2">
        <f t="shared" si="4"/>
        <v>0.91722595078299773</v>
      </c>
      <c r="E35" s="2">
        <f t="shared" si="5"/>
        <v>1.3457608290025843E-8</v>
      </c>
      <c r="F35" s="2" t="s">
        <v>12</v>
      </c>
      <c r="G35" s="7">
        <f>(1+G34)^12-1</f>
        <v>-0.77324775806289214</v>
      </c>
      <c r="H35" s="2" t="s">
        <v>13</v>
      </c>
    </row>
    <row r="36" spans="1:8" x14ac:dyDescent="0.2">
      <c r="A36" s="6">
        <v>37410</v>
      </c>
      <c r="B36" s="2">
        <v>4.47</v>
      </c>
      <c r="C36" s="2">
        <f t="shared" si="3"/>
        <v>-0.57183908045977017</v>
      </c>
      <c r="D36" s="2">
        <f t="shared" si="4"/>
        <v>0.42816091954022983</v>
      </c>
      <c r="E36" s="2">
        <f t="shared" si="5"/>
        <v>1.0375683997431061E-2</v>
      </c>
      <c r="F36" s="2" t="s">
        <v>10</v>
      </c>
      <c r="G36" s="7">
        <f>(B33/B56)^(1/24)-1</f>
        <v>-0.11631808748028472</v>
      </c>
      <c r="H36" s="2" t="s">
        <v>11</v>
      </c>
    </row>
    <row r="37" spans="1:8" x14ac:dyDescent="0.2">
      <c r="A37" s="6">
        <v>37377</v>
      </c>
      <c r="B37" s="2">
        <v>10.44</v>
      </c>
      <c r="C37" s="2">
        <f t="shared" si="3"/>
        <v>-6.8688670829616535E-2</v>
      </c>
      <c r="D37" s="2">
        <f t="shared" si="4"/>
        <v>0.93131132917038351</v>
      </c>
      <c r="E37" s="2">
        <f t="shared" si="5"/>
        <v>9.3208783233505253E-6</v>
      </c>
      <c r="F37" s="2" t="s">
        <v>12</v>
      </c>
      <c r="G37" s="7">
        <f>(1+G36)^12-1</f>
        <v>-0.77324775806289214</v>
      </c>
      <c r="H37" s="2" t="s">
        <v>13</v>
      </c>
    </row>
    <row r="38" spans="1:8" x14ac:dyDescent="0.2">
      <c r="A38" s="6">
        <v>37347</v>
      </c>
      <c r="B38" s="2">
        <v>11.21</v>
      </c>
      <c r="C38" s="2">
        <f t="shared" si="3"/>
        <v>8.9407191448007947E-2</v>
      </c>
      <c r="D38" s="2">
        <f t="shared" si="4"/>
        <v>1.0894071914480079</v>
      </c>
      <c r="E38" s="2">
        <f t="shared" si="5"/>
        <v>1.2973163098141296E-3</v>
      </c>
      <c r="F38" s="2" t="s">
        <v>23</v>
      </c>
      <c r="G38" s="7">
        <f>E57</f>
        <v>6.3410123637947832E-2</v>
      </c>
      <c r="H38" s="2" t="s">
        <v>15</v>
      </c>
    </row>
    <row r="39" spans="1:8" x14ac:dyDescent="0.2">
      <c r="A39" s="6">
        <v>37316</v>
      </c>
      <c r="B39" s="2">
        <v>10.29</v>
      </c>
      <c r="C39" s="2">
        <f t="shared" si="3"/>
        <v>0.11243243243243234</v>
      </c>
      <c r="D39" s="2">
        <f t="shared" si="4"/>
        <v>1.1124324324324324</v>
      </c>
      <c r="E39" s="2">
        <f t="shared" si="5"/>
        <v>1.6662211364627851E-3</v>
      </c>
      <c r="F39" s="2" t="s">
        <v>24</v>
      </c>
      <c r="G39" s="7">
        <f>G38^0.5</f>
        <v>0.25181366848911885</v>
      </c>
      <c r="H39" s="2" t="s">
        <v>17</v>
      </c>
    </row>
    <row r="40" spans="1:8" x14ac:dyDescent="0.2">
      <c r="A40" s="6">
        <v>37288</v>
      </c>
      <c r="B40" s="2">
        <v>9.25</v>
      </c>
      <c r="C40" s="2">
        <f t="shared" si="3"/>
        <v>-0.43528693528693524</v>
      </c>
      <c r="D40" s="2">
        <f t="shared" si="4"/>
        <v>0.56471306471306471</v>
      </c>
      <c r="E40" s="2">
        <f t="shared" si="5"/>
        <v>5.3858001518376974E-3</v>
      </c>
      <c r="F40" s="2" t="s">
        <v>24</v>
      </c>
      <c r="G40" s="7">
        <f>G39*12^0.5</f>
        <v>0.87230813572691968</v>
      </c>
      <c r="H40" s="2" t="s">
        <v>18</v>
      </c>
    </row>
    <row r="41" spans="1:8" x14ac:dyDescent="0.2">
      <c r="A41" s="6">
        <v>37258</v>
      </c>
      <c r="B41" s="2">
        <v>16.38</v>
      </c>
      <c r="C41" s="2">
        <f t="shared" si="3"/>
        <v>-0.32896353953297836</v>
      </c>
      <c r="D41" s="2">
        <f t="shared" si="4"/>
        <v>0.67103646046702159</v>
      </c>
      <c r="E41" s="2">
        <f t="shared" si="5"/>
        <v>2.623288685564933E-3</v>
      </c>
    </row>
    <row r="42" spans="1:8" x14ac:dyDescent="0.2">
      <c r="A42" s="6">
        <v>37228</v>
      </c>
      <c r="B42" s="2">
        <v>24.41</v>
      </c>
      <c r="C42" s="2">
        <f t="shared" si="3"/>
        <v>-2.1643286573146257E-2</v>
      </c>
      <c r="D42" s="2">
        <f t="shared" si="4"/>
        <v>0.97835671342685371</v>
      </c>
      <c r="E42" s="2">
        <f t="shared" si="5"/>
        <v>1.6544781867578728E-4</v>
      </c>
    </row>
    <row r="43" spans="1:8" x14ac:dyDescent="0.2">
      <c r="A43" s="6">
        <v>37196</v>
      </c>
      <c r="B43" s="2">
        <v>24.95</v>
      </c>
      <c r="C43" s="2">
        <f t="shared" si="3"/>
        <v>0.11883408071748872</v>
      </c>
      <c r="D43" s="2">
        <f t="shared" si="4"/>
        <v>1.1188340807174888</v>
      </c>
      <c r="E43" s="2">
        <f t="shared" si="5"/>
        <v>1.7769772533306166E-3</v>
      </c>
    </row>
    <row r="44" spans="1:8" x14ac:dyDescent="0.2">
      <c r="A44" s="6">
        <v>37165</v>
      </c>
      <c r="B44" s="2">
        <v>22.3</v>
      </c>
      <c r="C44" s="2">
        <f t="shared" si="3"/>
        <v>-0.15176873335869145</v>
      </c>
      <c r="D44" s="2">
        <f t="shared" si="4"/>
        <v>0.84823126664130855</v>
      </c>
      <c r="E44" s="2">
        <f t="shared" si="5"/>
        <v>2.0364372264821182E-4</v>
      </c>
    </row>
    <row r="45" spans="1:8" x14ac:dyDescent="0.2">
      <c r="A45" s="6">
        <v>37138</v>
      </c>
      <c r="B45" s="2">
        <v>26.29</v>
      </c>
      <c r="C45" s="2">
        <f t="shared" si="3"/>
        <v>5.2441953562850231E-2</v>
      </c>
      <c r="D45" s="2">
        <f t="shared" si="4"/>
        <v>1.0524419535628502</v>
      </c>
      <c r="E45" s="2">
        <f t="shared" si="5"/>
        <v>8.014839868868102E-4</v>
      </c>
    </row>
    <row r="46" spans="1:8" x14ac:dyDescent="0.2">
      <c r="A46" s="6">
        <v>37104</v>
      </c>
      <c r="B46" s="2">
        <v>24.98</v>
      </c>
      <c r="C46" s="2">
        <f t="shared" si="3"/>
        <v>-3.6265432098765482E-2</v>
      </c>
      <c r="D46" s="2">
        <f t="shared" si="4"/>
        <v>0.96373456790123457</v>
      </c>
      <c r="E46" s="2">
        <f t="shared" si="5"/>
        <v>9.6309178337794445E-5</v>
      </c>
    </row>
    <row r="47" spans="1:8" x14ac:dyDescent="0.2">
      <c r="A47" s="6">
        <v>37074</v>
      </c>
      <c r="B47" s="2">
        <v>25.92</v>
      </c>
      <c r="C47" s="2">
        <f t="shared" si="3"/>
        <v>7.3291925465838639E-2</v>
      </c>
      <c r="D47" s="2">
        <f t="shared" si="4"/>
        <v>1.0732919254658386</v>
      </c>
      <c r="E47" s="2">
        <f t="shared" si="5"/>
        <v>1.0665457606800603E-3</v>
      </c>
    </row>
    <row r="48" spans="1:8" x14ac:dyDescent="0.2">
      <c r="A48" s="6">
        <v>37043</v>
      </c>
      <c r="B48" s="2">
        <v>24.15</v>
      </c>
      <c r="C48" s="2">
        <f t="shared" si="3"/>
        <v>9.7727272727272663E-2</v>
      </c>
      <c r="D48" s="2">
        <f t="shared" si="4"/>
        <v>1.0977272727272727</v>
      </c>
      <c r="E48" s="2">
        <f t="shared" si="5"/>
        <v>1.4252991505169833E-3</v>
      </c>
    </row>
    <row r="49" spans="1:5" x14ac:dyDescent="0.2">
      <c r="A49" s="6">
        <v>37012</v>
      </c>
      <c r="B49" s="2">
        <v>22</v>
      </c>
      <c r="C49" s="2">
        <f t="shared" si="3"/>
        <v>-0.14163090128755362</v>
      </c>
      <c r="D49" s="2">
        <f t="shared" si="4"/>
        <v>0.85836909871244638</v>
      </c>
      <c r="E49" s="2">
        <f t="shared" si="5"/>
        <v>1.4778037288917936E-4</v>
      </c>
    </row>
    <row r="50" spans="1:5" x14ac:dyDescent="0.2">
      <c r="A50" s="6">
        <v>36983</v>
      </c>
      <c r="B50" s="2">
        <v>25.63</v>
      </c>
      <c r="C50" s="2">
        <f t="shared" si="3"/>
        <v>0.34894736842105256</v>
      </c>
      <c r="D50" s="2">
        <f t="shared" si="4"/>
        <v>1.3489473684210527</v>
      </c>
      <c r="E50" s="2">
        <f t="shared" si="5"/>
        <v>8.1245247015787961E-3</v>
      </c>
    </row>
    <row r="51" spans="1:5" x14ac:dyDescent="0.2">
      <c r="A51" s="6">
        <v>36951</v>
      </c>
      <c r="B51" s="2">
        <v>19</v>
      </c>
      <c r="C51" s="2">
        <f t="shared" si="3"/>
        <v>-0.2454328832406672</v>
      </c>
      <c r="D51" s="2">
        <f t="shared" si="4"/>
        <v>0.75456711675933286</v>
      </c>
      <c r="E51" s="2">
        <f t="shared" si="5"/>
        <v>1.1424876271011728E-3</v>
      </c>
    </row>
    <row r="52" spans="1:5" x14ac:dyDescent="0.2">
      <c r="A52" s="6">
        <v>36923</v>
      </c>
      <c r="B52" s="2">
        <v>25.18</v>
      </c>
      <c r="C52" s="2">
        <f t="shared" si="3"/>
        <v>-0.17442622950819672</v>
      </c>
      <c r="D52" s="2">
        <f t="shared" si="4"/>
        <v>0.82557377049180325</v>
      </c>
      <c r="E52" s="2">
        <f t="shared" si="5"/>
        <v>3.6080218916414417E-4</v>
      </c>
    </row>
    <row r="53" spans="1:5" x14ac:dyDescent="0.2">
      <c r="A53" s="6">
        <v>36893</v>
      </c>
      <c r="B53" s="2">
        <v>30.5</v>
      </c>
      <c r="C53" s="2">
        <f t="shared" si="3"/>
        <v>0.49217221135029343</v>
      </c>
      <c r="D53" s="2">
        <f t="shared" si="4"/>
        <v>1.4921722113502933</v>
      </c>
      <c r="E53" s="2">
        <f t="shared" si="5"/>
        <v>1.4400141496805196E-2</v>
      </c>
    </row>
    <row r="54" spans="1:5" x14ac:dyDescent="0.2">
      <c r="A54" s="6">
        <v>36861</v>
      </c>
      <c r="B54" s="2">
        <v>20.440000000000001</v>
      </c>
      <c r="C54" s="2">
        <f t="shared" si="3"/>
        <v>-9.9162626707800794E-2</v>
      </c>
      <c r="D54" s="2">
        <f t="shared" si="4"/>
        <v>0.90083737329219926</v>
      </c>
      <c r="E54" s="2">
        <f t="shared" si="5"/>
        <v>1.0898236381016233E-5</v>
      </c>
    </row>
    <row r="55" spans="1:5" x14ac:dyDescent="0.2">
      <c r="A55" s="6">
        <v>36831</v>
      </c>
      <c r="B55" s="2">
        <v>22.69</v>
      </c>
      <c r="C55" s="2">
        <f t="shared" si="3"/>
        <v>-0.40477439664218251</v>
      </c>
      <c r="D55" s="2">
        <f t="shared" si="4"/>
        <v>0.59522560335781749</v>
      </c>
      <c r="E55" s="2">
        <f t="shared" si="5"/>
        <v>4.4924453770609305E-3</v>
      </c>
    </row>
    <row r="56" spans="1:5" x14ac:dyDescent="0.2">
      <c r="A56" s="6">
        <v>36801</v>
      </c>
      <c r="B56" s="2">
        <v>38.119999999999997</v>
      </c>
      <c r="C56" s="2" t="s">
        <v>19</v>
      </c>
      <c r="D56" s="2" t="e">
        <f t="shared" si="4"/>
        <v>#VALUE!</v>
      </c>
    </row>
    <row r="57" spans="1:5" x14ac:dyDescent="0.2">
      <c r="B57" s="2" t="s">
        <v>20</v>
      </c>
      <c r="C57" s="2">
        <f>SUM(C33:C55)/23</f>
        <v>-8.3330398918782175E-2</v>
      </c>
      <c r="D57" s="8" t="s">
        <v>21</v>
      </c>
      <c r="E57" s="2">
        <f>SUM(E33:E55)</f>
        <v>6.3410123637947832E-2</v>
      </c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681E-FB0D-4347-A351-95BDAA98EDB7}">
  <dimension ref="A1:T85"/>
  <sheetViews>
    <sheetView workbookViewId="0">
      <selection activeCell="A5" sqref="A5"/>
    </sheetView>
  </sheetViews>
  <sheetFormatPr defaultRowHeight="12.75" x14ac:dyDescent="0.2"/>
  <cols>
    <col min="1" max="9" width="9.140625" style="47"/>
    <col min="10" max="10" width="4.42578125" style="47" customWidth="1"/>
    <col min="11" max="11" width="6.140625" style="47" customWidth="1"/>
    <col min="12" max="12" width="3.7109375" style="47" customWidth="1"/>
    <col min="13" max="13" width="3" style="47" customWidth="1"/>
    <col min="14" max="14" width="3.85546875" style="47" customWidth="1"/>
    <col min="15" max="15" width="5.5703125" style="47" bestFit="1" customWidth="1"/>
    <col min="16" max="17" width="4" style="47" bestFit="1" customWidth="1"/>
    <col min="18" max="18" width="9.140625" style="47"/>
    <col min="19" max="19" width="7.140625" style="47" bestFit="1" customWidth="1"/>
    <col min="20" max="16384" width="9.140625" style="47"/>
  </cols>
  <sheetData>
    <row r="1" spans="1:9" ht="18" x14ac:dyDescent="0.25">
      <c r="A1" s="45" t="s">
        <v>238</v>
      </c>
      <c r="B1" s="46"/>
      <c r="C1" s="46"/>
      <c r="D1" s="46"/>
      <c r="E1" s="46"/>
      <c r="F1" s="46"/>
      <c r="G1" s="46"/>
      <c r="H1" s="46"/>
      <c r="I1" s="46"/>
    </row>
    <row r="2" spans="1:9" x14ac:dyDescent="0.2">
      <c r="A2" s="47" t="s">
        <v>239</v>
      </c>
    </row>
    <row r="3" spans="1:9" x14ac:dyDescent="0.2">
      <c r="A3" s="47" t="s">
        <v>240</v>
      </c>
    </row>
    <row r="4" spans="1:9" x14ac:dyDescent="0.2">
      <c r="A4" s="47" t="s">
        <v>241</v>
      </c>
    </row>
    <row r="6" spans="1:9" x14ac:dyDescent="0.2">
      <c r="A6" s="47" t="s">
        <v>242</v>
      </c>
    </row>
    <row r="7" spans="1:9" x14ac:dyDescent="0.2">
      <c r="A7" s="47" t="s">
        <v>243</v>
      </c>
    </row>
    <row r="8" spans="1:9" x14ac:dyDescent="0.2">
      <c r="A8" s="47" t="s">
        <v>244</v>
      </c>
    </row>
    <row r="9" spans="1:9" x14ac:dyDescent="0.2">
      <c r="A9" s="47" t="s">
        <v>67</v>
      </c>
      <c r="B9" s="47">
        <v>1</v>
      </c>
      <c r="C9" s="47" t="s">
        <v>245</v>
      </c>
      <c r="D9" s="47" t="s">
        <v>246</v>
      </c>
      <c r="F9" s="47" t="s">
        <v>247</v>
      </c>
      <c r="G9" s="47" t="s">
        <v>248</v>
      </c>
      <c r="H9" s="47" t="s">
        <v>249</v>
      </c>
    </row>
    <row r="10" spans="1:9" x14ac:dyDescent="0.2">
      <c r="A10" s="47" t="s">
        <v>68</v>
      </c>
      <c r="B10" s="47">
        <v>1</v>
      </c>
      <c r="C10" s="47" t="s">
        <v>250</v>
      </c>
      <c r="D10" s="47" t="s">
        <v>251</v>
      </c>
      <c r="F10" s="47" t="s">
        <v>252</v>
      </c>
      <c r="G10" s="47" t="s">
        <v>253</v>
      </c>
      <c r="H10" s="47" t="s">
        <v>254</v>
      </c>
    </row>
    <row r="11" spans="1:9" x14ac:dyDescent="0.2">
      <c r="A11" s="47" t="s">
        <v>255</v>
      </c>
      <c r="B11" s="47">
        <v>1</v>
      </c>
      <c r="C11" s="47" t="s">
        <v>256</v>
      </c>
      <c r="D11" s="47" t="s">
        <v>257</v>
      </c>
      <c r="F11" s="47" t="s">
        <v>258</v>
      </c>
      <c r="G11" s="47" t="s">
        <v>259</v>
      </c>
      <c r="H11" s="47" t="s">
        <v>260</v>
      </c>
    </row>
    <row r="12" spans="1:9" x14ac:dyDescent="0.2">
      <c r="A12" s="47" t="s">
        <v>261</v>
      </c>
      <c r="B12" s="47">
        <v>1</v>
      </c>
      <c r="C12" s="47" t="s">
        <v>262</v>
      </c>
      <c r="D12" s="47" t="s">
        <v>263</v>
      </c>
      <c r="F12" s="47" t="s">
        <v>264</v>
      </c>
      <c r="H12" s="47" t="s">
        <v>265</v>
      </c>
    </row>
    <row r="13" spans="1:9" x14ac:dyDescent="0.2">
      <c r="A13" s="47" t="s">
        <v>266</v>
      </c>
      <c r="B13" s="47">
        <v>1</v>
      </c>
      <c r="C13" s="47" t="s">
        <v>267</v>
      </c>
      <c r="D13" s="47" t="s">
        <v>268</v>
      </c>
      <c r="F13" s="47" t="s">
        <v>269</v>
      </c>
      <c r="H13" s="47" t="s">
        <v>270</v>
      </c>
    </row>
    <row r="14" spans="1:9" x14ac:dyDescent="0.2">
      <c r="A14" s="48" t="s">
        <v>271</v>
      </c>
      <c r="B14" s="48" t="s">
        <v>272</v>
      </c>
      <c r="C14" s="48" t="s">
        <v>273</v>
      </c>
      <c r="D14" s="48" t="s">
        <v>274</v>
      </c>
      <c r="E14" s="48"/>
      <c r="F14" s="48" t="s">
        <v>275</v>
      </c>
      <c r="G14" s="48" t="s">
        <v>276</v>
      </c>
      <c r="H14" s="48" t="s">
        <v>277</v>
      </c>
    </row>
    <row r="16" spans="1:9" x14ac:dyDescent="0.2">
      <c r="A16" s="47" t="s">
        <v>278</v>
      </c>
    </row>
    <row r="17" spans="1:18" x14ac:dyDescent="0.2">
      <c r="A17" s="47" t="s">
        <v>279</v>
      </c>
    </row>
    <row r="18" spans="1:18" x14ac:dyDescent="0.2">
      <c r="A18" s="47">
        <v>1</v>
      </c>
      <c r="B18" s="47">
        <v>1.6</v>
      </c>
      <c r="C18" s="47">
        <v>0.4</v>
      </c>
      <c r="D18" s="47">
        <v>-0.09</v>
      </c>
    </row>
    <row r="19" spans="1:18" x14ac:dyDescent="0.2">
      <c r="A19" s="47">
        <v>1</v>
      </c>
      <c r="B19" s="47">
        <v>0.2</v>
      </c>
      <c r="C19" s="47">
        <v>0.8</v>
      </c>
      <c r="D19" s="47">
        <v>0.05</v>
      </c>
      <c r="F19" s="47">
        <v>0.03</v>
      </c>
      <c r="L19" s="48"/>
      <c r="M19" s="48"/>
      <c r="N19" s="48"/>
      <c r="O19" s="48"/>
      <c r="P19" s="48"/>
      <c r="Q19" s="48"/>
      <c r="R19" s="48"/>
    </row>
    <row r="20" spans="1:18" x14ac:dyDescent="0.2">
      <c r="A20" s="47">
        <v>1</v>
      </c>
      <c r="B20" s="47">
        <v>0.4</v>
      </c>
      <c r="C20" s="47">
        <v>1</v>
      </c>
      <c r="D20" s="47">
        <v>5.6000000000000001E-2</v>
      </c>
      <c r="F20" s="47">
        <v>0.12</v>
      </c>
    </row>
    <row r="21" spans="1:18" x14ac:dyDescent="0.2">
      <c r="A21" s="47">
        <v>1</v>
      </c>
      <c r="B21" s="47">
        <v>1.6</v>
      </c>
      <c r="C21" s="47">
        <v>1</v>
      </c>
      <c r="D21" s="47">
        <v>-0.03</v>
      </c>
      <c r="F21" s="47">
        <v>-0.08</v>
      </c>
    </row>
    <row r="22" spans="1:18" x14ac:dyDescent="0.2">
      <c r="A22" s="47">
        <v>1</v>
      </c>
      <c r="B22" s="47">
        <v>1</v>
      </c>
      <c r="C22" s="47">
        <v>0.7</v>
      </c>
      <c r="D22" s="47">
        <v>-1.7000000000000001E-2</v>
      </c>
    </row>
    <row r="23" spans="1:18" x14ac:dyDescent="0.2">
      <c r="A23" s="48" t="s">
        <v>272</v>
      </c>
      <c r="B23" s="48" t="s">
        <v>280</v>
      </c>
      <c r="C23" s="48" t="s">
        <v>281</v>
      </c>
      <c r="D23" s="48" t="s">
        <v>282</v>
      </c>
      <c r="E23" s="48"/>
      <c r="F23" s="48" t="s">
        <v>283</v>
      </c>
      <c r="H23" s="48"/>
    </row>
    <row r="24" spans="1:18" x14ac:dyDescent="0.2">
      <c r="A24" s="47" t="s">
        <v>284</v>
      </c>
    </row>
    <row r="25" spans="1:18" x14ac:dyDescent="0.2">
      <c r="L25" s="48"/>
      <c r="M25" s="48"/>
      <c r="N25" s="48"/>
      <c r="O25" s="48"/>
      <c r="P25" s="48"/>
      <c r="Q25" s="48"/>
      <c r="R25" s="48"/>
    </row>
    <row r="26" spans="1:18" x14ac:dyDescent="0.2">
      <c r="A26" s="47" t="s">
        <v>285</v>
      </c>
    </row>
    <row r="27" spans="1:18" x14ac:dyDescent="0.2">
      <c r="A27" s="47" t="s">
        <v>286</v>
      </c>
    </row>
    <row r="28" spans="1:18" ht="14.25" x14ac:dyDescent="0.2">
      <c r="B28" s="48" t="s">
        <v>287</v>
      </c>
      <c r="C28" s="49" t="s">
        <v>288</v>
      </c>
      <c r="F28" s="47" t="s">
        <v>289</v>
      </c>
    </row>
    <row r="29" spans="1:18" ht="14.25" x14ac:dyDescent="0.2">
      <c r="B29" s="48" t="s">
        <v>290</v>
      </c>
      <c r="C29" s="49" t="s">
        <v>288</v>
      </c>
      <c r="F29" s="47" t="s">
        <v>291</v>
      </c>
    </row>
    <row r="30" spans="1:18" ht="14.25" x14ac:dyDescent="0.2">
      <c r="B30" s="48" t="s">
        <v>292</v>
      </c>
      <c r="C30" s="49" t="s">
        <v>288</v>
      </c>
      <c r="F30" s="47" t="s">
        <v>293</v>
      </c>
    </row>
    <row r="31" spans="1:18" ht="14.25" x14ac:dyDescent="0.2">
      <c r="B31" s="48" t="s">
        <v>294</v>
      </c>
      <c r="C31" s="49" t="s">
        <v>288</v>
      </c>
      <c r="F31" s="47" t="s">
        <v>295</v>
      </c>
    </row>
    <row r="32" spans="1:18" x14ac:dyDescent="0.2">
      <c r="A32" s="47" t="s">
        <v>296</v>
      </c>
    </row>
    <row r="33" spans="1:19" x14ac:dyDescent="0.2">
      <c r="A33" s="47" t="s">
        <v>297</v>
      </c>
      <c r="B33" s="47">
        <v>-0.4</v>
      </c>
      <c r="O33" s="48"/>
      <c r="S33" s="48"/>
    </row>
    <row r="34" spans="1:19" x14ac:dyDescent="0.2">
      <c r="A34" s="47" t="s">
        <v>298</v>
      </c>
      <c r="B34" s="47">
        <v>0</v>
      </c>
      <c r="O34" s="48"/>
      <c r="S34" s="48"/>
    </row>
    <row r="35" spans="1:19" x14ac:dyDescent="0.2">
      <c r="A35" s="47" t="s">
        <v>299</v>
      </c>
      <c r="B35" s="47">
        <v>-0.4</v>
      </c>
      <c r="O35" s="48"/>
      <c r="S35" s="48"/>
    </row>
    <row r="36" spans="1:19" x14ac:dyDescent="0.2">
      <c r="A36" s="47" t="s">
        <v>300</v>
      </c>
      <c r="B36" s="47">
        <v>0</v>
      </c>
      <c r="O36" s="48"/>
      <c r="S36" s="48"/>
    </row>
    <row r="37" spans="1:19" x14ac:dyDescent="0.2">
      <c r="A37" s="47" t="s">
        <v>301</v>
      </c>
      <c r="B37" s="47">
        <v>0.8</v>
      </c>
      <c r="O37" s="48"/>
      <c r="S37" s="48"/>
    </row>
    <row r="38" spans="1:19" x14ac:dyDescent="0.2">
      <c r="B38" s="48" t="s">
        <v>302</v>
      </c>
      <c r="O38" s="48"/>
      <c r="S38" s="48"/>
    </row>
    <row r="39" spans="1:19" x14ac:dyDescent="0.2">
      <c r="A39" s="47" t="s">
        <v>303</v>
      </c>
      <c r="B39" s="48"/>
      <c r="O39" s="48"/>
      <c r="S39" s="48"/>
    </row>
    <row r="40" spans="1:19" x14ac:dyDescent="0.2">
      <c r="F40" s="47">
        <f>A18</f>
        <v>1</v>
      </c>
      <c r="G40" s="47">
        <f>D18</f>
        <v>-0.09</v>
      </c>
      <c r="H40" s="47">
        <f t="shared" ref="H40:I43" si="0">B18</f>
        <v>1.6</v>
      </c>
      <c r="I40" s="47">
        <f t="shared" si="0"/>
        <v>0.4</v>
      </c>
    </row>
    <row r="41" spans="1:19" x14ac:dyDescent="0.2">
      <c r="F41" s="47">
        <f>A19</f>
        <v>1</v>
      </c>
      <c r="G41" s="47">
        <f>D19</f>
        <v>0.05</v>
      </c>
      <c r="H41" s="47">
        <f t="shared" si="0"/>
        <v>0.2</v>
      </c>
      <c r="I41" s="47">
        <f t="shared" si="0"/>
        <v>0.8</v>
      </c>
    </row>
    <row r="42" spans="1:19" x14ac:dyDescent="0.2">
      <c r="A42" s="47">
        <f>B33</f>
        <v>-0.4</v>
      </c>
      <c r="B42" s="47">
        <f>B34</f>
        <v>0</v>
      </c>
      <c r="C42" s="47">
        <f>B35</f>
        <v>-0.4</v>
      </c>
      <c r="D42" s="47">
        <f>B36</f>
        <v>0</v>
      </c>
      <c r="E42" s="47">
        <f>B37</f>
        <v>0.8</v>
      </c>
      <c r="F42" s="47">
        <f>A20</f>
        <v>1</v>
      </c>
      <c r="G42" s="47">
        <f>D20</f>
        <v>5.6000000000000001E-2</v>
      </c>
      <c r="H42" s="47">
        <f t="shared" si="0"/>
        <v>0.4</v>
      </c>
      <c r="I42" s="47">
        <f t="shared" si="0"/>
        <v>1</v>
      </c>
      <c r="J42" s="47" t="s">
        <v>304</v>
      </c>
      <c r="K42" s="47">
        <f t="array" ref="K42:N42">MMULT(A42:E42,F40:I44)</f>
        <v>0</v>
      </c>
      <c r="L42" s="47">
        <v>-6.9388939039072284E-18</v>
      </c>
      <c r="M42" s="47">
        <v>-1.1102230246251565E-16</v>
      </c>
      <c r="N42" s="47">
        <v>-1.1102230246251565E-16</v>
      </c>
    </row>
    <row r="43" spans="1:19" x14ac:dyDescent="0.2">
      <c r="F43" s="47">
        <f>A21</f>
        <v>1</v>
      </c>
      <c r="G43" s="47">
        <f>D21</f>
        <v>-0.03</v>
      </c>
      <c r="H43" s="47">
        <f t="shared" si="0"/>
        <v>1.6</v>
      </c>
      <c r="I43" s="47">
        <f t="shared" si="0"/>
        <v>1</v>
      </c>
    </row>
    <row r="44" spans="1:19" x14ac:dyDescent="0.2">
      <c r="B44" s="48"/>
      <c r="F44" s="47">
        <f>A22</f>
        <v>1</v>
      </c>
      <c r="G44" s="47">
        <f>D22</f>
        <v>-1.7000000000000001E-2</v>
      </c>
      <c r="H44" s="47">
        <f>B22</f>
        <v>1</v>
      </c>
      <c r="I44" s="47">
        <f>C22</f>
        <v>0.7</v>
      </c>
    </row>
    <row r="45" spans="1:19" ht="14.25" x14ac:dyDescent="0.2">
      <c r="C45" s="48" t="s">
        <v>305</v>
      </c>
      <c r="G45" s="48" t="s">
        <v>306</v>
      </c>
      <c r="L45" s="48" t="s">
        <v>307</v>
      </c>
      <c r="N45" s="47" t="s">
        <v>249</v>
      </c>
    </row>
    <row r="46" spans="1:19" x14ac:dyDescent="0.2">
      <c r="A46" s="47" t="s">
        <v>308</v>
      </c>
      <c r="N46" s="47" t="s">
        <v>254</v>
      </c>
    </row>
    <row r="47" spans="1:19" ht="14.25" x14ac:dyDescent="0.2">
      <c r="B47" s="48" t="s">
        <v>309</v>
      </c>
      <c r="C47" s="49" t="s">
        <v>288</v>
      </c>
      <c r="I47" s="47">
        <f>B33</f>
        <v>-0.4</v>
      </c>
      <c r="J47" s="47">
        <f>B34</f>
        <v>0</v>
      </c>
      <c r="K47" s="47">
        <f>B35</f>
        <v>-0.4</v>
      </c>
      <c r="L47" s="47">
        <f>B36</f>
        <v>0</v>
      </c>
      <c r="M47" s="47">
        <f>B37</f>
        <v>0.8</v>
      </c>
      <c r="N47" s="47" t="s">
        <v>260</v>
      </c>
      <c r="O47" s="47" t="s">
        <v>304</v>
      </c>
      <c r="P47" s="47">
        <v>0</v>
      </c>
    </row>
    <row r="48" spans="1:19" ht="14.25" x14ac:dyDescent="0.2">
      <c r="K48" s="48" t="s">
        <v>310</v>
      </c>
      <c r="N48" s="47" t="s">
        <v>265</v>
      </c>
    </row>
    <row r="49" spans="1:20" x14ac:dyDescent="0.2">
      <c r="A49" s="47" t="s">
        <v>311</v>
      </c>
      <c r="N49" s="47" t="s">
        <v>270</v>
      </c>
    </row>
    <row r="50" spans="1:20" x14ac:dyDescent="0.2">
      <c r="A50" s="47" t="s">
        <v>312</v>
      </c>
      <c r="N50" s="48" t="s">
        <v>277</v>
      </c>
    </row>
    <row r="51" spans="1:20" x14ac:dyDescent="0.2">
      <c r="B51" s="47" t="s">
        <v>313</v>
      </c>
    </row>
    <row r="52" spans="1:20" x14ac:dyDescent="0.2">
      <c r="A52" s="47" t="s">
        <v>314</v>
      </c>
    </row>
    <row r="53" spans="1:20" x14ac:dyDescent="0.2">
      <c r="A53" s="47" t="s">
        <v>315</v>
      </c>
      <c r="L53" s="47">
        <v>1</v>
      </c>
      <c r="N53" s="47">
        <v>1.6</v>
      </c>
      <c r="O53" s="47">
        <v>0.4</v>
      </c>
      <c r="R53" s="47">
        <v>-0.09</v>
      </c>
      <c r="T53" s="47" t="s">
        <v>249</v>
      </c>
    </row>
    <row r="54" spans="1:20" x14ac:dyDescent="0.2">
      <c r="A54" s="47" t="s">
        <v>316</v>
      </c>
      <c r="L54" s="47">
        <v>1</v>
      </c>
      <c r="N54" s="47">
        <v>0.2</v>
      </c>
      <c r="O54" s="47">
        <v>0.8</v>
      </c>
      <c r="P54" s="47" t="s">
        <v>253</v>
      </c>
      <c r="R54" s="47">
        <v>0.05</v>
      </c>
      <c r="T54" s="47" t="s">
        <v>254</v>
      </c>
    </row>
    <row r="55" spans="1:20" x14ac:dyDescent="0.2">
      <c r="B55" s="48" t="s">
        <v>317</v>
      </c>
      <c r="K55" s="47" t="s">
        <v>248</v>
      </c>
      <c r="L55" s="47">
        <v>1</v>
      </c>
      <c r="M55" s="47" t="s">
        <v>318</v>
      </c>
      <c r="N55" s="47">
        <v>0.4</v>
      </c>
      <c r="O55" s="47">
        <v>1</v>
      </c>
      <c r="P55" s="47" t="s">
        <v>259</v>
      </c>
      <c r="Q55" s="47" t="s">
        <v>319</v>
      </c>
      <c r="R55" s="47">
        <v>5.6000000000000001E-2</v>
      </c>
      <c r="S55" s="47" t="s">
        <v>304</v>
      </c>
      <c r="T55" s="47" t="s">
        <v>260</v>
      </c>
    </row>
    <row r="56" spans="1:20" x14ac:dyDescent="0.2">
      <c r="A56" s="47" t="s">
        <v>320</v>
      </c>
      <c r="B56" s="48"/>
      <c r="L56" s="47">
        <v>1</v>
      </c>
      <c r="N56" s="47">
        <v>1.6</v>
      </c>
      <c r="O56" s="47">
        <v>1</v>
      </c>
      <c r="R56" s="47">
        <v>-0.03</v>
      </c>
      <c r="T56" s="47" t="s">
        <v>265</v>
      </c>
    </row>
    <row r="57" spans="1:20" x14ac:dyDescent="0.2">
      <c r="B57" s="48" t="s">
        <v>321</v>
      </c>
      <c r="L57" s="47">
        <v>1</v>
      </c>
      <c r="N57" s="47">
        <v>1</v>
      </c>
      <c r="O57" s="47">
        <v>0.7</v>
      </c>
      <c r="R57" s="47">
        <v>-1.7000000000000001E-2</v>
      </c>
      <c r="T57" s="47" t="s">
        <v>270</v>
      </c>
    </row>
    <row r="58" spans="1:20" x14ac:dyDescent="0.2">
      <c r="A58" s="47" t="s">
        <v>322</v>
      </c>
      <c r="K58" s="47" t="s">
        <v>248</v>
      </c>
      <c r="L58" s="48" t="s">
        <v>323</v>
      </c>
      <c r="M58" s="47" t="s">
        <v>318</v>
      </c>
      <c r="N58" s="48" t="s">
        <v>324</v>
      </c>
      <c r="O58" s="48"/>
      <c r="P58" s="48" t="s">
        <v>276</v>
      </c>
      <c r="Q58" s="47" t="s">
        <v>319</v>
      </c>
      <c r="R58" s="48" t="s">
        <v>282</v>
      </c>
      <c r="S58" s="47" t="s">
        <v>304</v>
      </c>
      <c r="T58" s="48" t="s">
        <v>277</v>
      </c>
    </row>
    <row r="59" spans="1:20" x14ac:dyDescent="0.2">
      <c r="A59" s="47" t="s">
        <v>325</v>
      </c>
    </row>
    <row r="60" spans="1:20" x14ac:dyDescent="0.2">
      <c r="A60" s="47" t="s">
        <v>326</v>
      </c>
    </row>
    <row r="61" spans="1:20" x14ac:dyDescent="0.2">
      <c r="A61" s="47" t="s">
        <v>327</v>
      </c>
    </row>
    <row r="62" spans="1:20" x14ac:dyDescent="0.2">
      <c r="A62" s="47" t="s">
        <v>328</v>
      </c>
    </row>
    <row r="63" spans="1:20" x14ac:dyDescent="0.2">
      <c r="A63" s="47" t="s">
        <v>329</v>
      </c>
    </row>
    <row r="64" spans="1:20" x14ac:dyDescent="0.2">
      <c r="A64" s="47" t="s">
        <v>330</v>
      </c>
    </row>
    <row r="65" spans="1:11" x14ac:dyDescent="0.2">
      <c r="A65" s="47" t="s">
        <v>331</v>
      </c>
    </row>
    <row r="66" spans="1:11" x14ac:dyDescent="0.2">
      <c r="A66" s="47" t="s">
        <v>332</v>
      </c>
    </row>
    <row r="67" spans="1:11" x14ac:dyDescent="0.2">
      <c r="A67" s="47" t="s">
        <v>333</v>
      </c>
    </row>
    <row r="69" spans="1:11" x14ac:dyDescent="0.2">
      <c r="B69" s="47">
        <v>1</v>
      </c>
      <c r="D69" s="47">
        <v>1.6</v>
      </c>
      <c r="F69" s="47">
        <v>0.4</v>
      </c>
      <c r="I69" s="47">
        <v>-0.09</v>
      </c>
      <c r="K69" s="47">
        <v>0.1</v>
      </c>
    </row>
    <row r="70" spans="1:11" x14ac:dyDescent="0.2">
      <c r="B70" s="47">
        <v>1</v>
      </c>
      <c r="D70" s="47">
        <v>0.2</v>
      </c>
      <c r="F70" s="47">
        <v>0.8</v>
      </c>
      <c r="G70" s="47">
        <v>0.12</v>
      </c>
      <c r="I70" s="47">
        <v>0.05</v>
      </c>
      <c r="K70" s="47">
        <v>0.04</v>
      </c>
    </row>
    <row r="71" spans="1:11" x14ac:dyDescent="0.2">
      <c r="A71" s="47">
        <v>0.03</v>
      </c>
      <c r="B71" s="47">
        <v>1</v>
      </c>
      <c r="C71" s="47" t="s">
        <v>318</v>
      </c>
      <c r="D71" s="47">
        <v>0.4</v>
      </c>
      <c r="F71" s="47">
        <v>1</v>
      </c>
      <c r="G71" s="47">
        <v>-0.08</v>
      </c>
      <c r="H71" s="47" t="s">
        <v>319</v>
      </c>
      <c r="I71" s="47">
        <v>5.6000000000000001E-2</v>
      </c>
      <c r="J71" s="47" t="s">
        <v>304</v>
      </c>
      <c r="K71" s="47">
        <v>5.3999999999999999E-2</v>
      </c>
    </row>
    <row r="72" spans="1:11" x14ac:dyDescent="0.2">
      <c r="B72" s="47">
        <v>1</v>
      </c>
      <c r="D72" s="47">
        <v>1.6</v>
      </c>
      <c r="F72" s="47">
        <v>1</v>
      </c>
      <c r="I72" s="47">
        <v>-0.03</v>
      </c>
      <c r="K72" s="47">
        <v>0.112</v>
      </c>
    </row>
    <row r="73" spans="1:11" x14ac:dyDescent="0.2">
      <c r="B73" s="47">
        <v>1</v>
      </c>
      <c r="D73" s="47">
        <v>1</v>
      </c>
      <c r="F73" s="47">
        <v>0.7</v>
      </c>
      <c r="I73" s="47">
        <v>-1.7000000000000001E-2</v>
      </c>
      <c r="K73" s="47">
        <v>7.6999999999999999E-2</v>
      </c>
    </row>
    <row r="74" spans="1:11" x14ac:dyDescent="0.2">
      <c r="A74" s="47" t="s">
        <v>334</v>
      </c>
      <c r="B74" s="48" t="s">
        <v>272</v>
      </c>
      <c r="C74" s="47" t="s">
        <v>318</v>
      </c>
      <c r="D74" s="48" t="s">
        <v>335</v>
      </c>
      <c r="E74" s="48"/>
      <c r="F74" s="48"/>
      <c r="G74" s="48" t="s">
        <v>283</v>
      </c>
      <c r="H74" s="47" t="s">
        <v>319</v>
      </c>
      <c r="I74" s="48" t="s">
        <v>282</v>
      </c>
      <c r="J74" s="47" t="s">
        <v>304</v>
      </c>
      <c r="K74" s="48" t="s">
        <v>336</v>
      </c>
    </row>
    <row r="75" spans="1:11" x14ac:dyDescent="0.2">
      <c r="A75" s="47" t="s">
        <v>337</v>
      </c>
    </row>
    <row r="77" spans="1:11" x14ac:dyDescent="0.2">
      <c r="A77" s="47">
        <v>1</v>
      </c>
      <c r="B77" s="47">
        <v>1.6</v>
      </c>
      <c r="C77" s="47">
        <v>0.4</v>
      </c>
      <c r="D77" s="47">
        <v>-0.09</v>
      </c>
      <c r="G77" s="47">
        <v>0.03</v>
      </c>
      <c r="I77" s="47">
        <f t="array" ref="I77:I81">MMULT(A77:D81,G77:G80)</f>
        <v>0.1</v>
      </c>
    </row>
    <row r="78" spans="1:11" x14ac:dyDescent="0.2">
      <c r="A78" s="47">
        <v>1</v>
      </c>
      <c r="B78" s="47">
        <v>0.2</v>
      </c>
      <c r="C78" s="47">
        <v>0.8</v>
      </c>
      <c r="D78" s="47">
        <v>0.05</v>
      </c>
      <c r="G78" s="47">
        <v>0.12</v>
      </c>
      <c r="I78" s="47">
        <v>0.04</v>
      </c>
    </row>
    <row r="79" spans="1:11" x14ac:dyDescent="0.2">
      <c r="A79" s="47">
        <v>1</v>
      </c>
      <c r="B79" s="47">
        <v>0.4</v>
      </c>
      <c r="C79" s="47">
        <v>1</v>
      </c>
      <c r="D79" s="47">
        <v>5.6000000000000001E-2</v>
      </c>
      <c r="F79" s="47" t="s">
        <v>338</v>
      </c>
      <c r="G79" s="47">
        <v>-0.08</v>
      </c>
      <c r="H79" s="47" t="s">
        <v>339</v>
      </c>
      <c r="I79" s="47">
        <v>5.3999999999999999E-2</v>
      </c>
    </row>
    <row r="80" spans="1:11" x14ac:dyDescent="0.2">
      <c r="A80" s="47">
        <v>1</v>
      </c>
      <c r="B80" s="47">
        <v>1.6</v>
      </c>
      <c r="C80" s="47">
        <v>1</v>
      </c>
      <c r="D80" s="47">
        <v>-0.03</v>
      </c>
      <c r="G80" s="47">
        <v>1</v>
      </c>
      <c r="I80" s="47">
        <v>0.11200000000000002</v>
      </c>
    </row>
    <row r="81" spans="1:9" x14ac:dyDescent="0.2">
      <c r="A81" s="47">
        <v>1</v>
      </c>
      <c r="B81" s="47">
        <v>1</v>
      </c>
      <c r="C81" s="47">
        <v>0.7</v>
      </c>
      <c r="D81" s="47">
        <v>-1.7000000000000001E-2</v>
      </c>
      <c r="I81" s="47">
        <v>7.6999999999999999E-2</v>
      </c>
    </row>
    <row r="82" spans="1:9" x14ac:dyDescent="0.2">
      <c r="B82" s="48" t="s">
        <v>340</v>
      </c>
      <c r="G82" s="48" t="s">
        <v>341</v>
      </c>
      <c r="I82" s="48" t="s">
        <v>342</v>
      </c>
    </row>
    <row r="83" spans="1:9" x14ac:dyDescent="0.2">
      <c r="A83" s="47" t="s">
        <v>343</v>
      </c>
    </row>
    <row r="84" spans="1:9" x14ac:dyDescent="0.2">
      <c r="A84" s="47" t="s">
        <v>344</v>
      </c>
    </row>
    <row r="85" spans="1:9" x14ac:dyDescent="0.2">
      <c r="A85" s="47" t="s">
        <v>345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7DA8-849C-4E37-9E6F-081A8722D1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ReturnStandardDeviation</vt:lpstr>
      <vt:lpstr>Covariance</vt:lpstr>
      <vt:lpstr>Returns Covariance</vt:lpstr>
      <vt:lpstr>Portfolio Possibility Frontier</vt:lpstr>
      <vt:lpstr>Portfolio Variance Matrices</vt:lpstr>
      <vt:lpstr>Diversification and Risk</vt:lpstr>
      <vt:lpstr>Extra Portfolio Problem</vt:lpstr>
      <vt:lpstr>Efficient Frontier</vt:lpstr>
      <vt:lpstr>Portfolio Optimization</vt:lpstr>
      <vt:lpstr>Beta</vt:lpstr>
      <vt:lpstr>APT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2022-05-28T13:13:55Z</dcterms:created>
  <dcterms:modified xsi:type="dcterms:W3CDTF">2022-05-28T17:08:44Z</dcterms:modified>
</cp:coreProperties>
</file>